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6500" yWindow="-19780" windowWidth="31880" windowHeight="16060" tabRatio="500" activeTab="1"/>
  </bookViews>
  <sheets>
    <sheet name="Gleichstrommaschine" sheetId="6" r:id="rId1"/>
    <sheet name="Synchronmaschine" sheetId="5" r:id="rId2"/>
    <sheet name="Windkraftanlage" sheetId="1" r:id="rId3"/>
    <sheet name="Kennlinien" sheetId="4" r:id="rId4"/>
    <sheet name="Primärregelung" sheetId="8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5" l="1"/>
  <c r="K4" i="5"/>
  <c r="B7" i="8"/>
  <c r="I47" i="5"/>
  <c r="I42" i="5"/>
  <c r="I45" i="5"/>
  <c r="B11" i="8"/>
  <c r="I16" i="5"/>
  <c r="I18" i="5"/>
  <c r="I40" i="5"/>
  <c r="I46" i="5"/>
  <c r="I44" i="5"/>
  <c r="I43" i="5"/>
  <c r="I13" i="5"/>
  <c r="I41" i="5"/>
  <c r="F35" i="5"/>
  <c r="I39" i="5"/>
  <c r="L47" i="5"/>
  <c r="L45" i="5"/>
  <c r="B5" i="8"/>
  <c r="L6" i="8"/>
  <c r="L4" i="8"/>
  <c r="L5" i="8"/>
  <c r="J14" i="8"/>
  <c r="B15" i="8"/>
  <c r="D14" i="8"/>
  <c r="D15" i="8"/>
  <c r="L7" i="8"/>
  <c r="H15" i="8"/>
  <c r="I15" i="8"/>
  <c r="J15" i="8"/>
  <c r="B16" i="8"/>
  <c r="D16" i="8"/>
  <c r="H16" i="8"/>
  <c r="I16" i="8"/>
  <c r="J16" i="8"/>
  <c r="B17" i="8"/>
  <c r="D17" i="8"/>
  <c r="H17" i="8"/>
  <c r="I17" i="8"/>
  <c r="J17" i="8"/>
  <c r="B18" i="8"/>
  <c r="D18" i="8"/>
  <c r="H18" i="8"/>
  <c r="I18" i="8"/>
  <c r="J18" i="8"/>
  <c r="B19" i="8"/>
  <c r="D19" i="8"/>
  <c r="H19" i="8"/>
  <c r="I19" i="8"/>
  <c r="J19" i="8"/>
  <c r="B20" i="8"/>
  <c r="D20" i="8"/>
  <c r="H20" i="8"/>
  <c r="I20" i="8"/>
  <c r="J20" i="8"/>
  <c r="B21" i="8"/>
  <c r="D21" i="8"/>
  <c r="H21" i="8"/>
  <c r="I21" i="8"/>
  <c r="J21" i="8"/>
  <c r="B22" i="8"/>
  <c r="D22" i="8"/>
  <c r="H22" i="8"/>
  <c r="I22" i="8"/>
  <c r="J22" i="8"/>
  <c r="B23" i="8"/>
  <c r="D23" i="8"/>
  <c r="H23" i="8"/>
  <c r="I23" i="8"/>
  <c r="J23" i="8"/>
  <c r="B24" i="8"/>
  <c r="D24" i="8"/>
  <c r="H24" i="8"/>
  <c r="I24" i="8"/>
  <c r="J24" i="8"/>
  <c r="B25" i="8"/>
  <c r="D25" i="8"/>
  <c r="H25" i="8"/>
  <c r="I25" i="8"/>
  <c r="J25" i="8"/>
  <c r="B26" i="8"/>
  <c r="D26" i="8"/>
  <c r="H26" i="8"/>
  <c r="I26" i="8"/>
  <c r="J26" i="8"/>
  <c r="B27" i="8"/>
  <c r="D27" i="8"/>
  <c r="H27" i="8"/>
  <c r="I27" i="8"/>
  <c r="J27" i="8"/>
  <c r="B28" i="8"/>
  <c r="D28" i="8"/>
  <c r="H28" i="8"/>
  <c r="I28" i="8"/>
  <c r="J28" i="8"/>
  <c r="B29" i="8"/>
  <c r="D29" i="8"/>
  <c r="H29" i="8"/>
  <c r="I29" i="8"/>
  <c r="J29" i="8"/>
  <c r="B30" i="8"/>
  <c r="D30" i="8"/>
  <c r="H30" i="8"/>
  <c r="I30" i="8"/>
  <c r="J30" i="8"/>
  <c r="B31" i="8"/>
  <c r="D31" i="8"/>
  <c r="H31" i="8"/>
  <c r="I31" i="8"/>
  <c r="J31" i="8"/>
  <c r="B32" i="8"/>
  <c r="D32" i="8"/>
  <c r="H32" i="8"/>
  <c r="I32" i="8"/>
  <c r="J32" i="8"/>
  <c r="B33" i="8"/>
  <c r="D33" i="8"/>
  <c r="H33" i="8"/>
  <c r="I33" i="8"/>
  <c r="J33" i="8"/>
  <c r="B34" i="8"/>
  <c r="D34" i="8"/>
  <c r="H34" i="8"/>
  <c r="I34" i="8"/>
  <c r="J34" i="8"/>
  <c r="B35" i="8"/>
  <c r="D35" i="8"/>
  <c r="H35" i="8"/>
  <c r="I35" i="8"/>
  <c r="J35" i="8"/>
  <c r="B36" i="8"/>
  <c r="D36" i="8"/>
  <c r="C36" i="8"/>
  <c r="H36" i="8"/>
  <c r="I36" i="8"/>
  <c r="J36" i="8"/>
  <c r="B37" i="8"/>
  <c r="D37" i="8"/>
  <c r="C37" i="8"/>
  <c r="H37" i="8"/>
  <c r="I37" i="8"/>
  <c r="J37" i="8"/>
  <c r="B38" i="8"/>
  <c r="D38" i="8"/>
  <c r="C38" i="8"/>
  <c r="H38" i="8"/>
  <c r="I38" i="8"/>
  <c r="J38" i="8"/>
  <c r="B39" i="8"/>
  <c r="D39" i="8"/>
  <c r="C39" i="8"/>
  <c r="H39" i="8"/>
  <c r="I39" i="8"/>
  <c r="J39" i="8"/>
  <c r="B40" i="8"/>
  <c r="D40" i="8"/>
  <c r="C40" i="8"/>
  <c r="H40" i="8"/>
  <c r="I40" i="8"/>
  <c r="J40" i="8"/>
  <c r="B41" i="8"/>
  <c r="D41" i="8"/>
  <c r="C41" i="8"/>
  <c r="H41" i="8"/>
  <c r="I41" i="8"/>
  <c r="J41" i="8"/>
  <c r="B42" i="8"/>
  <c r="D42" i="8"/>
  <c r="C42" i="8"/>
  <c r="H42" i="8"/>
  <c r="I42" i="8"/>
  <c r="J42" i="8"/>
  <c r="B43" i="8"/>
  <c r="D43" i="8"/>
  <c r="C43" i="8"/>
  <c r="H43" i="8"/>
  <c r="I43" i="8"/>
  <c r="J43" i="8"/>
  <c r="B44" i="8"/>
  <c r="D44" i="8"/>
  <c r="C44" i="8"/>
  <c r="H44" i="8"/>
  <c r="I44" i="8"/>
  <c r="J44" i="8"/>
  <c r="B45" i="8"/>
  <c r="D45" i="8"/>
  <c r="C45" i="8"/>
  <c r="H45" i="8"/>
  <c r="I45" i="8"/>
  <c r="J45" i="8"/>
  <c r="B46" i="8"/>
  <c r="D46" i="8"/>
  <c r="C46" i="8"/>
  <c r="H46" i="8"/>
  <c r="I46" i="8"/>
  <c r="J46" i="8"/>
  <c r="B47" i="8"/>
  <c r="D47" i="8"/>
  <c r="C47" i="8"/>
  <c r="H47" i="8"/>
  <c r="I47" i="8"/>
  <c r="J47" i="8"/>
  <c r="B48" i="8"/>
  <c r="D48" i="8"/>
  <c r="C48" i="8"/>
  <c r="H48" i="8"/>
  <c r="I48" i="8"/>
  <c r="J48" i="8"/>
  <c r="B49" i="8"/>
  <c r="D49" i="8"/>
  <c r="C49" i="8"/>
  <c r="H49" i="8"/>
  <c r="I49" i="8"/>
  <c r="J49" i="8"/>
  <c r="B50" i="8"/>
  <c r="D50" i="8"/>
  <c r="C50" i="8"/>
  <c r="H50" i="8"/>
  <c r="I50" i="8"/>
  <c r="J50" i="8"/>
  <c r="B51" i="8"/>
  <c r="D51" i="8"/>
  <c r="C51" i="8"/>
  <c r="H51" i="8"/>
  <c r="I51" i="8"/>
  <c r="J51" i="8"/>
  <c r="B52" i="8"/>
  <c r="D52" i="8"/>
  <c r="C52" i="8"/>
  <c r="H52" i="8"/>
  <c r="I52" i="8"/>
  <c r="J52" i="8"/>
  <c r="B53" i="8"/>
  <c r="D53" i="8"/>
  <c r="C53" i="8"/>
  <c r="H53" i="8"/>
  <c r="I53" i="8"/>
  <c r="J53" i="8"/>
  <c r="B54" i="8"/>
  <c r="D54" i="8"/>
  <c r="C54" i="8"/>
  <c r="H54" i="8"/>
  <c r="I54" i="8"/>
  <c r="J54" i="8"/>
  <c r="B55" i="8"/>
  <c r="D55" i="8"/>
  <c r="C55" i="8"/>
  <c r="H55" i="8"/>
  <c r="I55" i="8"/>
  <c r="J55" i="8"/>
  <c r="B56" i="8"/>
  <c r="D56" i="8"/>
  <c r="C56" i="8"/>
  <c r="H56" i="8"/>
  <c r="I56" i="8"/>
  <c r="J56" i="8"/>
  <c r="B57" i="8"/>
  <c r="D57" i="8"/>
  <c r="C57" i="8"/>
  <c r="H57" i="8"/>
  <c r="I57" i="8"/>
  <c r="J57" i="8"/>
  <c r="B58" i="8"/>
  <c r="D58" i="8"/>
  <c r="C58" i="8"/>
  <c r="H58" i="8"/>
  <c r="I58" i="8"/>
  <c r="J58" i="8"/>
  <c r="B59" i="8"/>
  <c r="D59" i="8"/>
  <c r="C59" i="8"/>
  <c r="H59" i="8"/>
  <c r="I59" i="8"/>
  <c r="J59" i="8"/>
  <c r="B60" i="8"/>
  <c r="D60" i="8"/>
  <c r="C60" i="8"/>
  <c r="H60" i="8"/>
  <c r="I60" i="8"/>
  <c r="J60" i="8"/>
  <c r="B61" i="8"/>
  <c r="D61" i="8"/>
  <c r="C61" i="8"/>
  <c r="H61" i="8"/>
  <c r="I61" i="8"/>
  <c r="J61" i="8"/>
  <c r="B62" i="8"/>
  <c r="D62" i="8"/>
  <c r="C62" i="8"/>
  <c r="H62" i="8"/>
  <c r="I62" i="8"/>
  <c r="J62" i="8"/>
  <c r="B63" i="8"/>
  <c r="D63" i="8"/>
  <c r="C63" i="8"/>
  <c r="H63" i="8"/>
  <c r="I63" i="8"/>
  <c r="J63" i="8"/>
  <c r="B64" i="8"/>
  <c r="D64" i="8"/>
  <c r="C64" i="8"/>
  <c r="H64" i="8"/>
  <c r="I64" i="8"/>
  <c r="J64" i="8"/>
  <c r="B65" i="8"/>
  <c r="D65" i="8"/>
  <c r="C65" i="8"/>
  <c r="H65" i="8"/>
  <c r="I65" i="8"/>
  <c r="J65" i="8"/>
  <c r="B66" i="8"/>
  <c r="D66" i="8"/>
  <c r="C66" i="8"/>
  <c r="H66" i="8"/>
  <c r="I66" i="8"/>
  <c r="J66" i="8"/>
  <c r="B67" i="8"/>
  <c r="D67" i="8"/>
  <c r="C67" i="8"/>
  <c r="H67" i="8"/>
  <c r="I67" i="8"/>
  <c r="J67" i="8"/>
  <c r="B68" i="8"/>
  <c r="D68" i="8"/>
  <c r="C68" i="8"/>
  <c r="H68" i="8"/>
  <c r="I68" i="8"/>
  <c r="J68" i="8"/>
  <c r="B69" i="8"/>
  <c r="D69" i="8"/>
  <c r="H69" i="8"/>
  <c r="I69" i="8"/>
  <c r="J69" i="8"/>
  <c r="B70" i="8"/>
  <c r="D70" i="8"/>
  <c r="H70" i="8"/>
  <c r="I70" i="8"/>
  <c r="J70" i="8"/>
  <c r="B71" i="8"/>
  <c r="D71" i="8"/>
  <c r="H71" i="8"/>
  <c r="I71" i="8"/>
  <c r="J71" i="8"/>
  <c r="B72" i="8"/>
  <c r="D72" i="8"/>
  <c r="H72" i="8"/>
  <c r="I72" i="8"/>
  <c r="J72" i="8"/>
  <c r="B73" i="8"/>
  <c r="D73" i="8"/>
  <c r="H73" i="8"/>
  <c r="I73" i="8"/>
  <c r="J73" i="8"/>
  <c r="B74" i="8"/>
  <c r="D74" i="8"/>
  <c r="H74" i="8"/>
  <c r="I74" i="8"/>
  <c r="J74" i="8"/>
  <c r="B75" i="8"/>
  <c r="D75" i="8"/>
  <c r="H75" i="8"/>
  <c r="I75" i="8"/>
  <c r="J75" i="8"/>
  <c r="B76" i="8"/>
  <c r="D76" i="8"/>
  <c r="H76" i="8"/>
  <c r="I76" i="8"/>
  <c r="J76" i="8"/>
  <c r="B77" i="8"/>
  <c r="D77" i="8"/>
  <c r="H77" i="8"/>
  <c r="I77" i="8"/>
  <c r="J77" i="8"/>
  <c r="B78" i="8"/>
  <c r="D78" i="8"/>
  <c r="H78" i="8"/>
  <c r="I78" i="8"/>
  <c r="J78" i="8"/>
  <c r="B79" i="8"/>
  <c r="D79" i="8"/>
  <c r="H79" i="8"/>
  <c r="I79" i="8"/>
  <c r="J79" i="8"/>
  <c r="B80" i="8"/>
  <c r="D80" i="8"/>
  <c r="H80" i="8"/>
  <c r="I80" i="8"/>
  <c r="J80" i="8"/>
  <c r="B81" i="8"/>
  <c r="D81" i="8"/>
  <c r="H81" i="8"/>
  <c r="I81" i="8"/>
  <c r="J81" i="8"/>
  <c r="B82" i="8"/>
  <c r="D82" i="8"/>
  <c r="H82" i="8"/>
  <c r="I82" i="8"/>
  <c r="J82" i="8"/>
  <c r="B83" i="8"/>
  <c r="D83" i="8"/>
  <c r="H83" i="8"/>
  <c r="I83" i="8"/>
  <c r="J83" i="8"/>
  <c r="B84" i="8"/>
  <c r="D84" i="8"/>
  <c r="H84" i="8"/>
  <c r="I84" i="8"/>
  <c r="J84" i="8"/>
  <c r="B85" i="8"/>
  <c r="D85" i="8"/>
  <c r="H85" i="8"/>
  <c r="I85" i="8"/>
  <c r="J85" i="8"/>
  <c r="B86" i="8"/>
  <c r="D86" i="8"/>
  <c r="H86" i="8"/>
  <c r="I86" i="8"/>
  <c r="J86" i="8"/>
  <c r="B87" i="8"/>
  <c r="D87" i="8"/>
  <c r="H87" i="8"/>
  <c r="I87" i="8"/>
  <c r="J87" i="8"/>
  <c r="B88" i="8"/>
  <c r="D88" i="8"/>
  <c r="H88" i="8"/>
  <c r="I88" i="8"/>
  <c r="J88" i="8"/>
  <c r="B89" i="8"/>
  <c r="D89" i="8"/>
  <c r="H89" i="8"/>
  <c r="I89" i="8"/>
  <c r="J89" i="8"/>
  <c r="B90" i="8"/>
  <c r="D90" i="8"/>
  <c r="H90" i="8"/>
  <c r="I90" i="8"/>
  <c r="J90" i="8"/>
  <c r="B91" i="8"/>
  <c r="D91" i="8"/>
  <c r="H91" i="8"/>
  <c r="I91" i="8"/>
  <c r="J91" i="8"/>
  <c r="B92" i="8"/>
  <c r="D92" i="8"/>
  <c r="H92" i="8"/>
  <c r="I92" i="8"/>
  <c r="J92" i="8"/>
  <c r="B93" i="8"/>
  <c r="D93" i="8"/>
  <c r="H93" i="8"/>
  <c r="I93" i="8"/>
  <c r="J93" i="8"/>
  <c r="B94" i="8"/>
  <c r="D94" i="8"/>
  <c r="H94" i="8"/>
  <c r="I94" i="8"/>
  <c r="J94" i="8"/>
  <c r="B95" i="8"/>
  <c r="D95" i="8"/>
  <c r="H95" i="8"/>
  <c r="I95" i="8"/>
  <c r="J95" i="8"/>
  <c r="B96" i="8"/>
  <c r="D96" i="8"/>
  <c r="H96" i="8"/>
  <c r="I96" i="8"/>
  <c r="J96" i="8"/>
  <c r="B97" i="8"/>
  <c r="D97" i="8"/>
  <c r="H97" i="8"/>
  <c r="I97" i="8"/>
  <c r="J97" i="8"/>
  <c r="B98" i="8"/>
  <c r="D98" i="8"/>
  <c r="H98" i="8"/>
  <c r="I98" i="8"/>
  <c r="J98" i="8"/>
  <c r="B99" i="8"/>
  <c r="D99" i="8"/>
  <c r="H99" i="8"/>
  <c r="I99" i="8"/>
  <c r="J99" i="8"/>
  <c r="L99" i="8"/>
  <c r="K99" i="8"/>
  <c r="G99" i="8"/>
  <c r="F99" i="8"/>
  <c r="E99" i="8"/>
  <c r="L98" i="8"/>
  <c r="K98" i="8"/>
  <c r="G98" i="8"/>
  <c r="F98" i="8"/>
  <c r="E98" i="8"/>
  <c r="L97" i="8"/>
  <c r="K97" i="8"/>
  <c r="G97" i="8"/>
  <c r="F97" i="8"/>
  <c r="E97" i="8"/>
  <c r="L96" i="8"/>
  <c r="K96" i="8"/>
  <c r="G96" i="8"/>
  <c r="F96" i="8"/>
  <c r="E96" i="8"/>
  <c r="L95" i="8"/>
  <c r="K95" i="8"/>
  <c r="G95" i="8"/>
  <c r="F95" i="8"/>
  <c r="E95" i="8"/>
  <c r="L94" i="8"/>
  <c r="K94" i="8"/>
  <c r="G94" i="8"/>
  <c r="F94" i="8"/>
  <c r="E94" i="8"/>
  <c r="L93" i="8"/>
  <c r="K93" i="8"/>
  <c r="G93" i="8"/>
  <c r="F93" i="8"/>
  <c r="E93" i="8"/>
  <c r="L92" i="8"/>
  <c r="K92" i="8"/>
  <c r="G92" i="8"/>
  <c r="F92" i="8"/>
  <c r="E92" i="8"/>
  <c r="L91" i="8"/>
  <c r="K91" i="8"/>
  <c r="G91" i="8"/>
  <c r="F91" i="8"/>
  <c r="E91" i="8"/>
  <c r="L90" i="8"/>
  <c r="K90" i="8"/>
  <c r="G90" i="8"/>
  <c r="F90" i="8"/>
  <c r="E90" i="8"/>
  <c r="L89" i="8"/>
  <c r="K89" i="8"/>
  <c r="G89" i="8"/>
  <c r="F89" i="8"/>
  <c r="E89" i="8"/>
  <c r="L88" i="8"/>
  <c r="K88" i="8"/>
  <c r="G88" i="8"/>
  <c r="F88" i="8"/>
  <c r="E88" i="8"/>
  <c r="L87" i="8"/>
  <c r="K87" i="8"/>
  <c r="G87" i="8"/>
  <c r="F87" i="8"/>
  <c r="E87" i="8"/>
  <c r="L86" i="8"/>
  <c r="K86" i="8"/>
  <c r="G86" i="8"/>
  <c r="F86" i="8"/>
  <c r="E86" i="8"/>
  <c r="L85" i="8"/>
  <c r="K85" i="8"/>
  <c r="G85" i="8"/>
  <c r="F85" i="8"/>
  <c r="E85" i="8"/>
  <c r="L84" i="8"/>
  <c r="K84" i="8"/>
  <c r="G84" i="8"/>
  <c r="F84" i="8"/>
  <c r="E84" i="8"/>
  <c r="L83" i="8"/>
  <c r="K83" i="8"/>
  <c r="G83" i="8"/>
  <c r="F83" i="8"/>
  <c r="E83" i="8"/>
  <c r="L82" i="8"/>
  <c r="K82" i="8"/>
  <c r="G82" i="8"/>
  <c r="F82" i="8"/>
  <c r="E82" i="8"/>
  <c r="L81" i="8"/>
  <c r="K81" i="8"/>
  <c r="G81" i="8"/>
  <c r="F81" i="8"/>
  <c r="E81" i="8"/>
  <c r="L80" i="8"/>
  <c r="K80" i="8"/>
  <c r="G80" i="8"/>
  <c r="F80" i="8"/>
  <c r="E80" i="8"/>
  <c r="L79" i="8"/>
  <c r="K79" i="8"/>
  <c r="G79" i="8"/>
  <c r="F79" i="8"/>
  <c r="E79" i="8"/>
  <c r="L78" i="8"/>
  <c r="K78" i="8"/>
  <c r="G78" i="8"/>
  <c r="F78" i="8"/>
  <c r="E78" i="8"/>
  <c r="L77" i="8"/>
  <c r="K77" i="8"/>
  <c r="G77" i="8"/>
  <c r="F77" i="8"/>
  <c r="E77" i="8"/>
  <c r="L76" i="8"/>
  <c r="K76" i="8"/>
  <c r="G76" i="8"/>
  <c r="F76" i="8"/>
  <c r="E76" i="8"/>
  <c r="L75" i="8"/>
  <c r="K75" i="8"/>
  <c r="G75" i="8"/>
  <c r="F75" i="8"/>
  <c r="E75" i="8"/>
  <c r="L74" i="8"/>
  <c r="K74" i="8"/>
  <c r="G74" i="8"/>
  <c r="F74" i="8"/>
  <c r="E74" i="8"/>
  <c r="L73" i="8"/>
  <c r="K73" i="8"/>
  <c r="G73" i="8"/>
  <c r="F73" i="8"/>
  <c r="E73" i="8"/>
  <c r="L72" i="8"/>
  <c r="K72" i="8"/>
  <c r="G72" i="8"/>
  <c r="F72" i="8"/>
  <c r="E72" i="8"/>
  <c r="L71" i="8"/>
  <c r="K71" i="8"/>
  <c r="G71" i="8"/>
  <c r="F71" i="8"/>
  <c r="E71" i="8"/>
  <c r="L70" i="8"/>
  <c r="K70" i="8"/>
  <c r="G70" i="8"/>
  <c r="F70" i="8"/>
  <c r="E70" i="8"/>
  <c r="L69" i="8"/>
  <c r="K69" i="8"/>
  <c r="G69" i="8"/>
  <c r="F69" i="8"/>
  <c r="E69" i="8"/>
  <c r="L68" i="8"/>
  <c r="K68" i="8"/>
  <c r="G68" i="8"/>
  <c r="F68" i="8"/>
  <c r="E68" i="8"/>
  <c r="L67" i="8"/>
  <c r="K67" i="8"/>
  <c r="G67" i="8"/>
  <c r="F67" i="8"/>
  <c r="E67" i="8"/>
  <c r="L66" i="8"/>
  <c r="K66" i="8"/>
  <c r="G66" i="8"/>
  <c r="F66" i="8"/>
  <c r="E66" i="8"/>
  <c r="L65" i="8"/>
  <c r="K65" i="8"/>
  <c r="G65" i="8"/>
  <c r="F65" i="8"/>
  <c r="E65" i="8"/>
  <c r="L64" i="8"/>
  <c r="K64" i="8"/>
  <c r="G64" i="8"/>
  <c r="F64" i="8"/>
  <c r="E64" i="8"/>
  <c r="L63" i="8"/>
  <c r="K63" i="8"/>
  <c r="G63" i="8"/>
  <c r="F63" i="8"/>
  <c r="E63" i="8"/>
  <c r="L62" i="8"/>
  <c r="K62" i="8"/>
  <c r="G62" i="8"/>
  <c r="F62" i="8"/>
  <c r="E62" i="8"/>
  <c r="L61" i="8"/>
  <c r="K61" i="8"/>
  <c r="G61" i="8"/>
  <c r="F61" i="8"/>
  <c r="E61" i="8"/>
  <c r="L60" i="8"/>
  <c r="K60" i="8"/>
  <c r="G60" i="8"/>
  <c r="F60" i="8"/>
  <c r="E60" i="8"/>
  <c r="L59" i="8"/>
  <c r="K59" i="8"/>
  <c r="G59" i="8"/>
  <c r="F59" i="8"/>
  <c r="E59" i="8"/>
  <c r="L58" i="8"/>
  <c r="K58" i="8"/>
  <c r="G58" i="8"/>
  <c r="F58" i="8"/>
  <c r="E58" i="8"/>
  <c r="L57" i="8"/>
  <c r="K57" i="8"/>
  <c r="G57" i="8"/>
  <c r="F57" i="8"/>
  <c r="E57" i="8"/>
  <c r="L56" i="8"/>
  <c r="K56" i="8"/>
  <c r="G56" i="8"/>
  <c r="F56" i="8"/>
  <c r="E56" i="8"/>
  <c r="L55" i="8"/>
  <c r="K55" i="8"/>
  <c r="G55" i="8"/>
  <c r="F55" i="8"/>
  <c r="E55" i="8"/>
  <c r="L54" i="8"/>
  <c r="K54" i="8"/>
  <c r="G54" i="8"/>
  <c r="F54" i="8"/>
  <c r="E54" i="8"/>
  <c r="L53" i="8"/>
  <c r="K53" i="8"/>
  <c r="G53" i="8"/>
  <c r="F53" i="8"/>
  <c r="E53" i="8"/>
  <c r="L52" i="8"/>
  <c r="K52" i="8"/>
  <c r="G52" i="8"/>
  <c r="F52" i="8"/>
  <c r="E52" i="8"/>
  <c r="L51" i="8"/>
  <c r="K51" i="8"/>
  <c r="G51" i="8"/>
  <c r="F51" i="8"/>
  <c r="E51" i="8"/>
  <c r="L50" i="8"/>
  <c r="K50" i="8"/>
  <c r="G50" i="8"/>
  <c r="F50" i="8"/>
  <c r="E50" i="8"/>
  <c r="L49" i="8"/>
  <c r="K49" i="8"/>
  <c r="G49" i="8"/>
  <c r="F49" i="8"/>
  <c r="E49" i="8"/>
  <c r="L48" i="8"/>
  <c r="K48" i="8"/>
  <c r="G48" i="8"/>
  <c r="F48" i="8"/>
  <c r="E48" i="8"/>
  <c r="L47" i="8"/>
  <c r="K47" i="8"/>
  <c r="G47" i="8"/>
  <c r="F47" i="8"/>
  <c r="E47" i="8"/>
  <c r="L46" i="8"/>
  <c r="K46" i="8"/>
  <c r="G46" i="8"/>
  <c r="F46" i="8"/>
  <c r="E46" i="8"/>
  <c r="L45" i="8"/>
  <c r="K45" i="8"/>
  <c r="G45" i="8"/>
  <c r="F45" i="8"/>
  <c r="E45" i="8"/>
  <c r="L44" i="8"/>
  <c r="K44" i="8"/>
  <c r="G44" i="8"/>
  <c r="F44" i="8"/>
  <c r="E44" i="8"/>
  <c r="L43" i="8"/>
  <c r="K43" i="8"/>
  <c r="G43" i="8"/>
  <c r="F43" i="8"/>
  <c r="E43" i="8"/>
  <c r="L42" i="8"/>
  <c r="K42" i="8"/>
  <c r="G42" i="8"/>
  <c r="F42" i="8"/>
  <c r="E42" i="8"/>
  <c r="L41" i="8"/>
  <c r="K41" i="8"/>
  <c r="G41" i="8"/>
  <c r="F41" i="8"/>
  <c r="E41" i="8"/>
  <c r="L40" i="8"/>
  <c r="K40" i="8"/>
  <c r="G40" i="8"/>
  <c r="F40" i="8"/>
  <c r="E40" i="8"/>
  <c r="L39" i="8"/>
  <c r="K39" i="8"/>
  <c r="G39" i="8"/>
  <c r="F39" i="8"/>
  <c r="E39" i="8"/>
  <c r="L38" i="8"/>
  <c r="K38" i="8"/>
  <c r="G38" i="8"/>
  <c r="F38" i="8"/>
  <c r="E38" i="8"/>
  <c r="L37" i="8"/>
  <c r="K37" i="8"/>
  <c r="G37" i="8"/>
  <c r="F37" i="8"/>
  <c r="E37" i="8"/>
  <c r="L36" i="8"/>
  <c r="K36" i="8"/>
  <c r="G36" i="8"/>
  <c r="F36" i="8"/>
  <c r="E36" i="8"/>
  <c r="L35" i="8"/>
  <c r="K35" i="8"/>
  <c r="G35" i="8"/>
  <c r="F35" i="8"/>
  <c r="E35" i="8"/>
  <c r="L34" i="8"/>
  <c r="K34" i="8"/>
  <c r="G34" i="8"/>
  <c r="F34" i="8"/>
  <c r="E34" i="8"/>
  <c r="L33" i="8"/>
  <c r="K33" i="8"/>
  <c r="G33" i="8"/>
  <c r="F33" i="8"/>
  <c r="E33" i="8"/>
  <c r="L32" i="8"/>
  <c r="K32" i="8"/>
  <c r="G32" i="8"/>
  <c r="F32" i="8"/>
  <c r="E32" i="8"/>
  <c r="L31" i="8"/>
  <c r="K31" i="8"/>
  <c r="G31" i="8"/>
  <c r="F31" i="8"/>
  <c r="E31" i="8"/>
  <c r="L30" i="8"/>
  <c r="K30" i="8"/>
  <c r="G30" i="8"/>
  <c r="F30" i="8"/>
  <c r="E30" i="8"/>
  <c r="L29" i="8"/>
  <c r="K29" i="8"/>
  <c r="G29" i="8"/>
  <c r="F29" i="8"/>
  <c r="E29" i="8"/>
  <c r="L28" i="8"/>
  <c r="K28" i="8"/>
  <c r="G28" i="8"/>
  <c r="F28" i="8"/>
  <c r="E28" i="8"/>
  <c r="L27" i="8"/>
  <c r="K27" i="8"/>
  <c r="G27" i="8"/>
  <c r="F27" i="8"/>
  <c r="E27" i="8"/>
  <c r="L26" i="8"/>
  <c r="K26" i="8"/>
  <c r="G26" i="8"/>
  <c r="F26" i="8"/>
  <c r="E26" i="8"/>
  <c r="L25" i="8"/>
  <c r="K25" i="8"/>
  <c r="G25" i="8"/>
  <c r="F25" i="8"/>
  <c r="E25" i="8"/>
  <c r="L24" i="8"/>
  <c r="K24" i="8"/>
  <c r="G24" i="8"/>
  <c r="F24" i="8"/>
  <c r="E24" i="8"/>
  <c r="L23" i="8"/>
  <c r="K23" i="8"/>
  <c r="G23" i="8"/>
  <c r="F23" i="8"/>
  <c r="E23" i="8"/>
  <c r="L22" i="8"/>
  <c r="K22" i="8"/>
  <c r="G22" i="8"/>
  <c r="F22" i="8"/>
  <c r="E22" i="8"/>
  <c r="L21" i="8"/>
  <c r="K21" i="8"/>
  <c r="G21" i="8"/>
  <c r="F21" i="8"/>
  <c r="E21" i="8"/>
  <c r="L20" i="8"/>
  <c r="K20" i="8"/>
  <c r="G20" i="8"/>
  <c r="F20" i="8"/>
  <c r="E20" i="8"/>
  <c r="L19" i="8"/>
  <c r="K19" i="8"/>
  <c r="G19" i="8"/>
  <c r="F19" i="8"/>
  <c r="E19" i="8"/>
  <c r="L18" i="8"/>
  <c r="K18" i="8"/>
  <c r="G18" i="8"/>
  <c r="F18" i="8"/>
  <c r="E18" i="8"/>
  <c r="L17" i="8"/>
  <c r="K17" i="8"/>
  <c r="G17" i="8"/>
  <c r="F17" i="8"/>
  <c r="E17" i="8"/>
  <c r="L16" i="8"/>
  <c r="K16" i="8"/>
  <c r="G16" i="8"/>
  <c r="F16" i="8"/>
  <c r="E16" i="8"/>
  <c r="L15" i="8"/>
  <c r="K15" i="8"/>
  <c r="G15" i="8"/>
  <c r="F15" i="8"/>
  <c r="E15" i="8"/>
  <c r="G14" i="8"/>
  <c r="B14" i="8"/>
  <c r="I16" i="6"/>
  <c r="I13" i="6"/>
  <c r="B12" i="6"/>
  <c r="B13" i="6"/>
  <c r="I10" i="6"/>
  <c r="I11" i="6"/>
  <c r="I15" i="6"/>
  <c r="B10" i="6"/>
  <c r="B11" i="6"/>
  <c r="B15" i="6"/>
  <c r="I14" i="6"/>
  <c r="L14" i="6"/>
  <c r="B14" i="6"/>
  <c r="E14" i="6"/>
  <c r="I12" i="6"/>
  <c r="C26" i="5"/>
  <c r="C27" i="5"/>
  <c r="L18" i="5"/>
  <c r="I17" i="5"/>
  <c r="L16" i="5"/>
  <c r="I15" i="5"/>
  <c r="I14" i="5"/>
  <c r="B14" i="5"/>
  <c r="I12" i="5"/>
  <c r="I11" i="5"/>
  <c r="I10" i="5"/>
  <c r="F6" i="5"/>
  <c r="B12" i="5"/>
  <c r="B13" i="5"/>
  <c r="B17" i="5"/>
  <c r="B16" i="5"/>
  <c r="E16" i="5"/>
  <c r="B15" i="5"/>
  <c r="B11" i="5"/>
  <c r="B10" i="5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12" i="4"/>
  <c r="L12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13" i="4"/>
  <c r="F4" i="4"/>
  <c r="C9" i="4"/>
  <c r="D9" i="4"/>
  <c r="E9" i="4"/>
  <c r="F9" i="4"/>
  <c r="G9" i="4"/>
  <c r="H9" i="4"/>
  <c r="I9" i="4"/>
  <c r="J9" i="4"/>
  <c r="K9" i="4"/>
  <c r="B9" i="4"/>
  <c r="B12" i="1"/>
  <c r="B37" i="1"/>
  <c r="B38" i="1"/>
  <c r="B13" i="1"/>
  <c r="F12" i="1"/>
  <c r="B36" i="1"/>
  <c r="B28" i="1"/>
  <c r="B35" i="1"/>
  <c r="B34" i="1"/>
  <c r="B11" i="1"/>
  <c r="D24" i="1"/>
  <c r="B24" i="1"/>
  <c r="E21" i="1"/>
  <c r="D21" i="1"/>
  <c r="E22" i="1"/>
  <c r="D22" i="1"/>
  <c r="B22" i="1"/>
  <c r="B21" i="1"/>
  <c r="B20" i="1"/>
  <c r="B10" i="1"/>
  <c r="B3" i="1"/>
  <c r="B9" i="1"/>
  <c r="B7" i="1"/>
</calcChain>
</file>

<file path=xl/sharedStrings.xml><?xml version="1.0" encoding="utf-8"?>
<sst xmlns="http://schemas.openxmlformats.org/spreadsheetml/2006/main" count="336" uniqueCount="156">
  <si>
    <t>m=</t>
  </si>
  <si>
    <t>h=</t>
  </si>
  <si>
    <t>J=</t>
  </si>
  <si>
    <t>kg</t>
  </si>
  <si>
    <t>m</t>
  </si>
  <si>
    <t>M kgm2</t>
  </si>
  <si>
    <t>mnabe=</t>
  </si>
  <si>
    <t>r=</t>
  </si>
  <si>
    <t>Jnabe=</t>
  </si>
  <si>
    <t>Jgesamt=</t>
  </si>
  <si>
    <t>ω=</t>
  </si>
  <si>
    <t>f=</t>
  </si>
  <si>
    <t>Hz</t>
  </si>
  <si>
    <t>1/s</t>
  </si>
  <si>
    <t>Ekin=</t>
  </si>
  <si>
    <t>M kg m2 /s2</t>
  </si>
  <si>
    <t>MJ</t>
  </si>
  <si>
    <t>MWs</t>
  </si>
  <si>
    <t>kWh</t>
  </si>
  <si>
    <t>vwind=</t>
  </si>
  <si>
    <t>m/s</t>
  </si>
  <si>
    <t>van=</t>
  </si>
  <si>
    <t>vab=</t>
  </si>
  <si>
    <t>cp=</t>
  </si>
  <si>
    <t>A=</t>
  </si>
  <si>
    <t>m2</t>
  </si>
  <si>
    <t>Pwind=</t>
  </si>
  <si>
    <t>Pwindrad=</t>
  </si>
  <si>
    <t>rho=</t>
  </si>
  <si>
    <t>kg/m3</t>
  </si>
  <si>
    <t>MW</t>
  </si>
  <si>
    <t>vrotor=</t>
  </si>
  <si>
    <t>km/h</t>
  </si>
  <si>
    <t>fn=</t>
  </si>
  <si>
    <t>Un=</t>
  </si>
  <si>
    <t>In=</t>
  </si>
  <si>
    <t>Pn=</t>
  </si>
  <si>
    <t>L=</t>
  </si>
  <si>
    <t>RL=</t>
  </si>
  <si>
    <t>Mn=</t>
  </si>
  <si>
    <t>Unind=</t>
  </si>
  <si>
    <t>eta=</t>
  </si>
  <si>
    <t>R=</t>
  </si>
  <si>
    <t>s</t>
  </si>
  <si>
    <t>PL=</t>
  </si>
  <si>
    <t>Pwind=(1/2) rho A v^3</t>
  </si>
  <si>
    <t>Pwindrad= cp Pwind</t>
  </si>
  <si>
    <t>P=M omega</t>
  </si>
  <si>
    <t>v [m|s]</t>
  </si>
  <si>
    <t>kg /m^3</t>
  </si>
  <si>
    <t>Rotorlänge</t>
  </si>
  <si>
    <t>Massendichte der Luft</t>
  </si>
  <si>
    <t>Leistungsbeiwert</t>
  </si>
  <si>
    <t>m^2</t>
  </si>
  <si>
    <t>P[kW]</t>
  </si>
  <si>
    <t>ω[1/s]</t>
  </si>
  <si>
    <t>f[U/min]</t>
  </si>
  <si>
    <t>f[1/s]</t>
  </si>
  <si>
    <t>Uab=</t>
  </si>
  <si>
    <t>V rms</t>
  </si>
  <si>
    <t>W</t>
  </si>
  <si>
    <t>H</t>
  </si>
  <si>
    <t>kg m2</t>
  </si>
  <si>
    <t>omegan=</t>
  </si>
  <si>
    <t>Pel=</t>
  </si>
  <si>
    <t>Ia=</t>
  </si>
  <si>
    <t>kM=</t>
  </si>
  <si>
    <t>Nm</t>
  </si>
  <si>
    <t>A</t>
  </si>
  <si>
    <t>V</t>
  </si>
  <si>
    <t>Nm/A</t>
  </si>
  <si>
    <t>PV=</t>
  </si>
  <si>
    <t>Ohm</t>
  </si>
  <si>
    <t>Leiterspannung, Effektivwert</t>
  </si>
  <si>
    <t>Scheitelwert Leiterspannung</t>
  </si>
  <si>
    <t>Scheitelwert Strangstrom</t>
  </si>
  <si>
    <t>Effektivwert Strangstrom (=Leiterstrom)</t>
  </si>
  <si>
    <t>Nennmoment</t>
  </si>
  <si>
    <t>elektrische Leistung</t>
  </si>
  <si>
    <t>Nennleistung = mechanische Leistung</t>
  </si>
  <si>
    <t>Nenndrehzahl</t>
  </si>
  <si>
    <t>Wirkungsgrad</t>
  </si>
  <si>
    <t>Induktivität</t>
  </si>
  <si>
    <t>Reaktanz</t>
  </si>
  <si>
    <t>Trängheitsmoment</t>
  </si>
  <si>
    <t>Maschinenkonstante</t>
  </si>
  <si>
    <t>Modellparameter</t>
  </si>
  <si>
    <t>Eingabewerte</t>
  </si>
  <si>
    <t>berechnete Größen (Motorbetrieb):</t>
  </si>
  <si>
    <t>berechnete Größen (Generatorbetrieb):</t>
  </si>
  <si>
    <t>Pstring=</t>
  </si>
  <si>
    <t>Vorgaben:</t>
  </si>
  <si>
    <t>Synchronreaktanz:</t>
  </si>
  <si>
    <t>xd=</t>
  </si>
  <si>
    <t>kV</t>
  </si>
  <si>
    <t>Sn=</t>
  </si>
  <si>
    <t>Xd=xd*(Uab^2/Sn)=</t>
  </si>
  <si>
    <t>mH</t>
  </si>
  <si>
    <t>Nennstrom</t>
  </si>
  <si>
    <t>Nennspannung</t>
  </si>
  <si>
    <t>Generator-Turbinensatz</t>
  </si>
  <si>
    <t>ẋ1(t) = KT u(t) - x1(t)/TT</t>
  </si>
  <si>
    <t>zeitdiskret:</t>
  </si>
  <si>
    <t>Regler:</t>
  </si>
  <si>
    <t>ẋ2(t) = (1/ω0JR) x1(t) - (ML/JR )</t>
  </si>
  <si>
    <t>m3</t>
  </si>
  <si>
    <t>y(t) = x2(t) / 2π</t>
  </si>
  <si>
    <t>f0=</t>
  </si>
  <si>
    <t>ML=</t>
  </si>
  <si>
    <t>JR=</t>
  </si>
  <si>
    <t>m3/s</t>
  </si>
  <si>
    <t>Δt=</t>
  </si>
  <si>
    <t>(Δt/(ω0 JR))=</t>
  </si>
  <si>
    <t>ΔP=</t>
  </si>
  <si>
    <t>(ML Δt)/JR=</t>
  </si>
  <si>
    <t>Index k</t>
  </si>
  <si>
    <t>ΔP</t>
  </si>
  <si>
    <t>(Δt/(ω0 JR)) x1(k)</t>
  </si>
  <si>
    <t>(ML Δt)/JR</t>
  </si>
  <si>
    <t>x2(k)</t>
  </si>
  <si>
    <t xml:space="preserve"> y(k)=f(k)</t>
  </si>
  <si>
    <t>e(k)</t>
  </si>
  <si>
    <t>ΔP/Pb</t>
  </si>
  <si>
    <t>Δf/f0</t>
  </si>
  <si>
    <t>x1(t) = PT(t)</t>
  </si>
  <si>
    <t>x1(k) (1+ Δt/TT) = KT Δt u(k) + x1(k-1)</t>
  </si>
  <si>
    <t>x2(t) = ω(t)</t>
  </si>
  <si>
    <t>x2(k)= (Δt/(ω0 JR)) x1(k) - (ML Δt)/JR  + x2(k-1)</t>
  </si>
  <si>
    <t>Pb=</t>
  </si>
  <si>
    <t>Nennleistung Generator</t>
  </si>
  <si>
    <t>y(t) = f(t)</t>
  </si>
  <si>
    <t>Netzfrequenz</t>
  </si>
  <si>
    <t>1/(1+ Δt/TT)=</t>
  </si>
  <si>
    <t>Lastmoment</t>
  </si>
  <si>
    <t>Diskretisieren:</t>
  </si>
  <si>
    <t>ẋ1(t) = dx/dt ≈ (x(k) - x(k-1)) Δt</t>
  </si>
  <si>
    <t>KT Δt=</t>
  </si>
  <si>
    <t>Trägheitsmoment des Rotors</t>
  </si>
  <si>
    <t>h0</t>
  </si>
  <si>
    <t>Dampf</t>
  </si>
  <si>
    <t>KT=</t>
  </si>
  <si>
    <t>MW/m3</t>
  </si>
  <si>
    <t>Turbinenkonstante</t>
  </si>
  <si>
    <t>TT=</t>
  </si>
  <si>
    <t>Zeitkonstante der Turbine</t>
  </si>
  <si>
    <t>Abtastintervall</t>
  </si>
  <si>
    <t>KP=</t>
  </si>
  <si>
    <t>Hub für Lastsprung</t>
  </si>
  <si>
    <t>u(k)</t>
  </si>
  <si>
    <t>x1(k)</t>
  </si>
  <si>
    <t>x1(k) [MW]</t>
  </si>
  <si>
    <t>Eingabefelder</t>
  </si>
  <si>
    <t>Große Maschine:</t>
  </si>
  <si>
    <t>Trägheit (Inertia): H [s] = Ekin [Ws]/P [W]</t>
  </si>
  <si>
    <t>H=</t>
  </si>
  <si>
    <t>P=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</si>
</sst>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5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1">
    <xf numFmtId="0" fontId="0" fillId="0" borderId="0" xfId="0"/>
    <xf numFmtId="2" fontId="0" fillId="0" borderId="0" xfId="0" applyNumberFormat="1"/>
    <xf numFmtId="16" fontId="0" fillId="0" borderId="0" xfId="0" applyNumberFormat="1"/>
    <xf numFmtId="0" fontId="4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0" xfId="0" applyFill="1"/>
    <xf numFmtId="1" fontId="0" fillId="0" borderId="0" xfId="0" applyNumberFormat="1"/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ill="1"/>
    <xf numFmtId="0" fontId="0" fillId="0" borderId="1" xfId="0" applyBorder="1"/>
    <xf numFmtId="0" fontId="0" fillId="0" borderId="7" xfId="0" applyBorder="1"/>
    <xf numFmtId="0" fontId="0" fillId="2" borderId="0" xfId="0" applyFill="1" applyBorder="1"/>
    <xf numFmtId="0" fontId="0" fillId="0" borderId="0" xfId="0" applyBorder="1"/>
    <xf numFmtId="0" fontId="0" fillId="2" borderId="8" xfId="0" applyFill="1" applyBorder="1"/>
    <xf numFmtId="0" fontId="0" fillId="0" borderId="8" xfId="0" applyBorder="1"/>
    <xf numFmtId="0" fontId="0" fillId="3" borderId="7" xfId="0" applyFill="1" applyBorder="1"/>
    <xf numFmtId="1" fontId="0" fillId="0" borderId="0" xfId="0" applyNumberFormat="1" applyBorder="1"/>
    <xf numFmtId="1" fontId="0" fillId="0" borderId="8" xfId="0" applyNumberFormat="1" applyBorder="1"/>
    <xf numFmtId="0" fontId="0" fillId="3" borderId="4" xfId="0" applyFill="1" applyBorder="1"/>
    <xf numFmtId="0" fontId="0" fillId="2" borderId="5" xfId="0" applyFill="1" applyBorder="1"/>
    <xf numFmtId="3" fontId="0" fillId="0" borderId="0" xfId="0" applyNumberFormat="1" applyBorder="1"/>
    <xf numFmtId="4" fontId="0" fillId="0" borderId="0" xfId="0" applyNumberFormat="1" applyBorder="1"/>
    <xf numFmtId="164" fontId="0" fillId="0" borderId="0" xfId="0" applyNumberFormat="1" applyBorder="1"/>
    <xf numFmtId="0" fontId="0" fillId="0" borderId="4" xfId="0" applyBorder="1"/>
    <xf numFmtId="0" fontId="0" fillId="0" borderId="4" xfId="0" applyFill="1" applyBorder="1"/>
    <xf numFmtId="0" fontId="0" fillId="0" borderId="5" xfId="0" applyFill="1" applyBorder="1"/>
    <xf numFmtId="164" fontId="0" fillId="0" borderId="5" xfId="0" applyNumberFormat="1" applyBorder="1"/>
    <xf numFmtId="0" fontId="0" fillId="3" borderId="9" xfId="0" applyFill="1" applyBorder="1"/>
    <xf numFmtId="0" fontId="0" fillId="3" borderId="1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0" xfId="0" applyAlignment="1">
      <alignment horizontal="left" indent="1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1" fontId="0" fillId="0" borderId="0" xfId="0" applyNumberFormat="1" applyFill="1"/>
    <xf numFmtId="0" fontId="0" fillId="5" borderId="0" xfId="0" applyFill="1"/>
    <xf numFmtId="0" fontId="0" fillId="6" borderId="19" xfId="0" applyFill="1" applyBorder="1"/>
    <xf numFmtId="0" fontId="0" fillId="0" borderId="20" xfId="0" applyBorder="1"/>
    <xf numFmtId="0" fontId="0" fillId="2" borderId="21" xfId="0" applyFill="1" applyBorder="1"/>
    <xf numFmtId="0" fontId="0" fillId="0" borderId="22" xfId="0" applyBorder="1"/>
    <xf numFmtId="0" fontId="0" fillId="4" borderId="20" xfId="0" applyFill="1" applyBorder="1"/>
    <xf numFmtId="0" fontId="0" fillId="5" borderId="22" xfId="0" applyFill="1" applyBorder="1"/>
    <xf numFmtId="0" fontId="0" fillId="0" borderId="0" xfId="0" applyFill="1" applyBorder="1"/>
    <xf numFmtId="166" fontId="0" fillId="0" borderId="0" xfId="0" applyNumberFormat="1" applyBorder="1"/>
    <xf numFmtId="0" fontId="0" fillId="0" borderId="11" xfId="0" applyFill="1" applyBorder="1"/>
    <xf numFmtId="0" fontId="0" fillId="0" borderId="12" xfId="0" applyFill="1" applyBorder="1"/>
    <xf numFmtId="1" fontId="0" fillId="0" borderId="12" xfId="0" applyNumberFormat="1" applyBorder="1"/>
    <xf numFmtId="0" fontId="0" fillId="0" borderId="23" xfId="0" applyBorder="1"/>
    <xf numFmtId="0" fontId="0" fillId="3" borderId="14" xfId="0" applyFill="1" applyBorder="1"/>
    <xf numFmtId="0" fontId="0" fillId="3" borderId="24" xfId="0" applyFill="1" applyBorder="1"/>
    <xf numFmtId="0" fontId="0" fillId="0" borderId="14" xfId="0" applyFill="1" applyBorder="1"/>
    <xf numFmtId="0" fontId="0" fillId="0" borderId="25" xfId="0" applyBorder="1"/>
    <xf numFmtId="0" fontId="0" fillId="0" borderId="26" xfId="0" applyBorder="1"/>
    <xf numFmtId="0" fontId="0" fillId="0" borderId="17" xfId="0" applyBorder="1"/>
    <xf numFmtId="0" fontId="0" fillId="3" borderId="27" xfId="0" applyFill="1" applyBorder="1"/>
    <xf numFmtId="0" fontId="0" fillId="3" borderId="28" xfId="0" applyFill="1" applyBorder="1"/>
    <xf numFmtId="0" fontId="0" fillId="0" borderId="29" xfId="0" applyBorder="1"/>
    <xf numFmtId="0" fontId="0" fillId="0" borderId="24" xfId="0" applyFill="1" applyBorder="1"/>
    <xf numFmtId="0" fontId="0" fillId="3" borderId="30" xfId="0" applyFill="1" applyBorder="1"/>
    <xf numFmtId="1" fontId="0" fillId="0" borderId="5" xfId="0" applyNumberFormat="1" applyBorder="1"/>
  </cellXfs>
  <cellStyles count="55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Standard" xfId="0" builtinId="0"/>
    <cellStyle name="Standard 2" xfId="13"/>
    <cellStyle name="Standard 2 2" xfId="14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Kennlinien!$B$8:$K$8</c:f>
              <c:numCache>
                <c:formatCode>General</c:formatCode>
                <c:ptCount val="10"/>
                <c:pt idx="0">
                  <c:v>3.0</c:v>
                </c:pt>
                <c:pt idx="1">
                  <c:v>4.0</c:v>
                </c:pt>
                <c:pt idx="2">
                  <c:v>5.0</c:v>
                </c:pt>
                <c:pt idx="3">
                  <c:v>6.0</c:v>
                </c:pt>
                <c:pt idx="4">
                  <c:v>7.0</c:v>
                </c:pt>
                <c:pt idx="5">
                  <c:v>8.0</c:v>
                </c:pt>
                <c:pt idx="6">
                  <c:v>9.0</c:v>
                </c:pt>
                <c:pt idx="7">
                  <c:v>10.0</c:v>
                </c:pt>
                <c:pt idx="8">
                  <c:v>11.0</c:v>
                </c:pt>
                <c:pt idx="9">
                  <c:v>12.0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Kennlinien!$B$9:$K$9</c:f>
              <c:numCache>
                <c:formatCode>0</c:formatCode>
                <c:ptCount val="10"/>
                <c:pt idx="0">
                  <c:v>82.4479576008105</c:v>
                </c:pt>
                <c:pt idx="1">
                  <c:v>195.4321957945139</c:v>
                </c:pt>
                <c:pt idx="2">
                  <c:v>381.7035074111598</c:v>
                </c:pt>
                <c:pt idx="3">
                  <c:v>659.5836608064842</c:v>
                </c:pt>
                <c:pt idx="4">
                  <c:v>1047.394424336223</c:v>
                </c:pt>
                <c:pt idx="5">
                  <c:v>1563.457566356111</c:v>
                </c:pt>
                <c:pt idx="6">
                  <c:v>2226.094855221884</c:v>
                </c:pt>
                <c:pt idx="7">
                  <c:v>3053.628059289279</c:v>
                </c:pt>
                <c:pt idx="8">
                  <c:v>4064.37894691403</c:v>
                </c:pt>
                <c:pt idx="9">
                  <c:v>5276.669286451873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441416"/>
        <c:axId val="2098896744"/>
      </c:lineChart>
      <c:catAx>
        <c:axId val="20764414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98896744"/>
        <c:crosses val="autoZero"/>
        <c:auto val="1"/>
        <c:lblAlgn val="ctr"/>
        <c:lblOffset val="100"/>
        <c:noMultiLvlLbl val="0"/>
      </c:catAx>
      <c:valAx>
        <c:axId val="2098896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6441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Primärregelung!$I$13</c:f>
              <c:strCache>
                <c:ptCount val="1"/>
                <c:pt idx="0">
                  <c:v> y(k)=f(k)</c:v>
                </c:pt>
              </c:strCache>
            </c:strRef>
          </c:tx>
          <c:val>
            <c:numRef>
              <c:f>Primärregelung!$I$15:$I$99</c:f>
              <c:numCache>
                <c:formatCode>0.00</c:formatCode>
                <c:ptCount val="85"/>
                <c:pt idx="0">
                  <c:v>50.00011692174985</c:v>
                </c:pt>
                <c:pt idx="1">
                  <c:v>50.00011692174985</c:v>
                </c:pt>
                <c:pt idx="2">
                  <c:v>50.00011692174985</c:v>
                </c:pt>
                <c:pt idx="3">
                  <c:v>50.00011692174985</c:v>
                </c:pt>
                <c:pt idx="4">
                  <c:v>50.00011692174985</c:v>
                </c:pt>
                <c:pt idx="5">
                  <c:v>50.00011692174985</c:v>
                </c:pt>
                <c:pt idx="6">
                  <c:v>50.00011692174985</c:v>
                </c:pt>
                <c:pt idx="7">
                  <c:v>50.00011692174985</c:v>
                </c:pt>
                <c:pt idx="8">
                  <c:v>50.00011692174985</c:v>
                </c:pt>
                <c:pt idx="9">
                  <c:v>50.00011692174985</c:v>
                </c:pt>
                <c:pt idx="10">
                  <c:v>50.00011692174985</c:v>
                </c:pt>
                <c:pt idx="11">
                  <c:v>50.00011692174985</c:v>
                </c:pt>
                <c:pt idx="12">
                  <c:v>50.00011692174985</c:v>
                </c:pt>
                <c:pt idx="13">
                  <c:v>50.00011692174985</c:v>
                </c:pt>
                <c:pt idx="14">
                  <c:v>50.00011692174985</c:v>
                </c:pt>
                <c:pt idx="15">
                  <c:v>50.00011692174985</c:v>
                </c:pt>
                <c:pt idx="16">
                  <c:v>50.00011692174985</c:v>
                </c:pt>
                <c:pt idx="17">
                  <c:v>50.00011692174985</c:v>
                </c:pt>
                <c:pt idx="18">
                  <c:v>50.00011692174985</c:v>
                </c:pt>
                <c:pt idx="19">
                  <c:v>50.00011692174985</c:v>
                </c:pt>
                <c:pt idx="20">
                  <c:v>50.00011692174985</c:v>
                </c:pt>
                <c:pt idx="21">
                  <c:v>49.69615337082284</c:v>
                </c:pt>
                <c:pt idx="22">
                  <c:v>49.39218981989583</c:v>
                </c:pt>
                <c:pt idx="23">
                  <c:v>49.08822626896882</c:v>
                </c:pt>
                <c:pt idx="24">
                  <c:v>48.78426271804182</c:v>
                </c:pt>
                <c:pt idx="25">
                  <c:v>48.48029916711481</c:v>
                </c:pt>
                <c:pt idx="26">
                  <c:v>48.1763356161878</c:v>
                </c:pt>
                <c:pt idx="27">
                  <c:v>47.8723720652608</c:v>
                </c:pt>
                <c:pt idx="28">
                  <c:v>47.5684085143338</c:v>
                </c:pt>
                <c:pt idx="29">
                  <c:v>47.26444496340679</c:v>
                </c:pt>
                <c:pt idx="30">
                  <c:v>46.96048141247978</c:v>
                </c:pt>
                <c:pt idx="31">
                  <c:v>46.65651786155277</c:v>
                </c:pt>
                <c:pt idx="32">
                  <c:v>46.35255431062577</c:v>
                </c:pt>
                <c:pt idx="33">
                  <c:v>46.04859075969876</c:v>
                </c:pt>
                <c:pt idx="34">
                  <c:v>45.74462720877175</c:v>
                </c:pt>
                <c:pt idx="35">
                  <c:v>45.44066365784475</c:v>
                </c:pt>
                <c:pt idx="36">
                  <c:v>45.13670010691774</c:v>
                </c:pt>
                <c:pt idx="37">
                  <c:v>44.83273655599073</c:v>
                </c:pt>
                <c:pt idx="38">
                  <c:v>44.52877300506372</c:v>
                </c:pt>
                <c:pt idx="39">
                  <c:v>44.22480945413673</c:v>
                </c:pt>
                <c:pt idx="40">
                  <c:v>43.92084590320972</c:v>
                </c:pt>
                <c:pt idx="41">
                  <c:v>43.61688235228271</c:v>
                </c:pt>
                <c:pt idx="42">
                  <c:v>43.3129188013557</c:v>
                </c:pt>
                <c:pt idx="43">
                  <c:v>43.0089552504287</c:v>
                </c:pt>
                <c:pt idx="44">
                  <c:v>42.70499169950169</c:v>
                </c:pt>
                <c:pt idx="45">
                  <c:v>42.40102814857468</c:v>
                </c:pt>
                <c:pt idx="46">
                  <c:v>42.09706459764768</c:v>
                </c:pt>
                <c:pt idx="47">
                  <c:v>41.79310104672067</c:v>
                </c:pt>
                <c:pt idx="48">
                  <c:v>41.48913749579366</c:v>
                </c:pt>
                <c:pt idx="49">
                  <c:v>41.18517394486666</c:v>
                </c:pt>
                <c:pt idx="50">
                  <c:v>40.88121039393965</c:v>
                </c:pt>
                <c:pt idx="51">
                  <c:v>40.57724684301265</c:v>
                </c:pt>
                <c:pt idx="52">
                  <c:v>40.27328329208564</c:v>
                </c:pt>
                <c:pt idx="53">
                  <c:v>39.96931974115862</c:v>
                </c:pt>
                <c:pt idx="54">
                  <c:v>39.96931974115862</c:v>
                </c:pt>
                <c:pt idx="55">
                  <c:v>39.96931974115863</c:v>
                </c:pt>
                <c:pt idx="56">
                  <c:v>39.96931974115863</c:v>
                </c:pt>
                <c:pt idx="57">
                  <c:v>39.96931974115864</c:v>
                </c:pt>
                <c:pt idx="58">
                  <c:v>39.96931974115864</c:v>
                </c:pt>
                <c:pt idx="59">
                  <c:v>39.96931974115864</c:v>
                </c:pt>
                <c:pt idx="60">
                  <c:v>39.96931974115865</c:v>
                </c:pt>
                <c:pt idx="61">
                  <c:v>39.96931974115866</c:v>
                </c:pt>
                <c:pt idx="62">
                  <c:v>39.96931974115866</c:v>
                </c:pt>
                <c:pt idx="63">
                  <c:v>39.96931974115867</c:v>
                </c:pt>
                <c:pt idx="64">
                  <c:v>39.96931974115867</c:v>
                </c:pt>
                <c:pt idx="65">
                  <c:v>39.96931974115867</c:v>
                </c:pt>
                <c:pt idx="66">
                  <c:v>39.96931974115868</c:v>
                </c:pt>
                <c:pt idx="67">
                  <c:v>39.96931974115868</c:v>
                </c:pt>
                <c:pt idx="68">
                  <c:v>39.9693197411587</c:v>
                </c:pt>
                <c:pt idx="69">
                  <c:v>39.9693197411587</c:v>
                </c:pt>
                <c:pt idx="70">
                  <c:v>39.9693197411587</c:v>
                </c:pt>
                <c:pt idx="71">
                  <c:v>39.9693197411587</c:v>
                </c:pt>
                <c:pt idx="72">
                  <c:v>39.9693197411587</c:v>
                </c:pt>
                <c:pt idx="73">
                  <c:v>39.9693197411587</c:v>
                </c:pt>
                <c:pt idx="74">
                  <c:v>39.96931974115872</c:v>
                </c:pt>
                <c:pt idx="75">
                  <c:v>39.96931974115872</c:v>
                </c:pt>
                <c:pt idx="76">
                  <c:v>39.96931974115872</c:v>
                </c:pt>
                <c:pt idx="77">
                  <c:v>39.96931974115873</c:v>
                </c:pt>
                <c:pt idx="78">
                  <c:v>39.96931974115873</c:v>
                </c:pt>
                <c:pt idx="79">
                  <c:v>39.96931974115874</c:v>
                </c:pt>
                <c:pt idx="80">
                  <c:v>39.96931974115874</c:v>
                </c:pt>
                <c:pt idx="81">
                  <c:v>39.96931974115874</c:v>
                </c:pt>
                <c:pt idx="82">
                  <c:v>39.96931974115875</c:v>
                </c:pt>
                <c:pt idx="83">
                  <c:v>39.96931974115876</c:v>
                </c:pt>
                <c:pt idx="84">
                  <c:v>39.96931974115876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686856"/>
        <c:axId val="2072949352"/>
      </c:lineChart>
      <c:catAx>
        <c:axId val="2072686856"/>
        <c:scaling>
          <c:orientation val="minMax"/>
        </c:scaling>
        <c:delete val="0"/>
        <c:axPos val="b"/>
        <c:majorTickMark val="out"/>
        <c:minorTickMark val="none"/>
        <c:tickLblPos val="nextTo"/>
        <c:crossAx val="2072949352"/>
        <c:crosses val="autoZero"/>
        <c:auto val="1"/>
        <c:lblAlgn val="ctr"/>
        <c:lblOffset val="100"/>
        <c:noMultiLvlLbl val="0"/>
      </c:catAx>
      <c:valAx>
        <c:axId val="20729493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072686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Primärregelung!$K$13</c:f>
              <c:strCache>
                <c:ptCount val="1"/>
                <c:pt idx="0">
                  <c:v>ΔP/Pb</c:v>
                </c:pt>
              </c:strCache>
            </c:strRef>
          </c:tx>
          <c:val>
            <c:numRef>
              <c:f>Primärregelung!$K$15:$K$99</c:f>
              <c:numCache>
                <c:formatCode>0.0%</c:formatCode>
                <c:ptCount val="8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0.01</c:v>
                </c:pt>
                <c:pt idx="22">
                  <c:v>0.01</c:v>
                </c:pt>
                <c:pt idx="23">
                  <c:v>0.01</c:v>
                </c:pt>
                <c:pt idx="24">
                  <c:v>0.01</c:v>
                </c:pt>
                <c:pt idx="25">
                  <c:v>0.01</c:v>
                </c:pt>
                <c:pt idx="26">
                  <c:v>0.01</c:v>
                </c:pt>
                <c:pt idx="27">
                  <c:v>0.01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0.01</c:v>
                </c:pt>
                <c:pt idx="33">
                  <c:v>0.01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  <c:pt idx="37">
                  <c:v>0.01</c:v>
                </c:pt>
                <c:pt idx="38">
                  <c:v>0.01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  <c:pt idx="42">
                  <c:v>0.01</c:v>
                </c:pt>
                <c:pt idx="43">
                  <c:v>0.01</c:v>
                </c:pt>
                <c:pt idx="44">
                  <c:v>0.01</c:v>
                </c:pt>
                <c:pt idx="45">
                  <c:v>0.01</c:v>
                </c:pt>
                <c:pt idx="46">
                  <c:v>0.01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Primärregelung!$L$13</c:f>
              <c:strCache>
                <c:ptCount val="1"/>
                <c:pt idx="0">
                  <c:v>Δf/f0</c:v>
                </c:pt>
              </c:strCache>
            </c:strRef>
          </c:tx>
          <c:val>
            <c:numRef>
              <c:f>Primärregelung!$L$15:$L$99</c:f>
              <c:numCache>
                <c:formatCode>0.0%</c:formatCode>
                <c:ptCount val="85"/>
                <c:pt idx="0">
                  <c:v>2.33843499714226E-6</c:v>
                </c:pt>
                <c:pt idx="1">
                  <c:v>2.33843499714226E-6</c:v>
                </c:pt>
                <c:pt idx="2">
                  <c:v>2.33843499714226E-6</c:v>
                </c:pt>
                <c:pt idx="3">
                  <c:v>2.33843499714226E-6</c:v>
                </c:pt>
                <c:pt idx="4">
                  <c:v>2.33843499714226E-6</c:v>
                </c:pt>
                <c:pt idx="5">
                  <c:v>2.33843499714226E-6</c:v>
                </c:pt>
                <c:pt idx="6">
                  <c:v>2.33843499714226E-6</c:v>
                </c:pt>
                <c:pt idx="7">
                  <c:v>2.33843499714226E-6</c:v>
                </c:pt>
                <c:pt idx="8">
                  <c:v>2.33843499714226E-6</c:v>
                </c:pt>
                <c:pt idx="9">
                  <c:v>2.33843499714226E-6</c:v>
                </c:pt>
                <c:pt idx="10">
                  <c:v>2.33843499714226E-6</c:v>
                </c:pt>
                <c:pt idx="11">
                  <c:v>2.33843499714226E-6</c:v>
                </c:pt>
                <c:pt idx="12">
                  <c:v>2.33843499714226E-6</c:v>
                </c:pt>
                <c:pt idx="13">
                  <c:v>2.33843499714226E-6</c:v>
                </c:pt>
                <c:pt idx="14">
                  <c:v>2.33843499714226E-6</c:v>
                </c:pt>
                <c:pt idx="15">
                  <c:v>2.33843499714226E-6</c:v>
                </c:pt>
                <c:pt idx="16">
                  <c:v>2.33843499714226E-6</c:v>
                </c:pt>
                <c:pt idx="17">
                  <c:v>2.33843499714226E-6</c:v>
                </c:pt>
                <c:pt idx="18">
                  <c:v>2.33843499714226E-6</c:v>
                </c:pt>
                <c:pt idx="19">
                  <c:v>2.33843499714226E-6</c:v>
                </c:pt>
                <c:pt idx="20">
                  <c:v>2.33843499714226E-6</c:v>
                </c:pt>
                <c:pt idx="21">
                  <c:v>-0.00607693258354317</c:v>
                </c:pt>
                <c:pt idx="22">
                  <c:v>-0.0121562036020833</c:v>
                </c:pt>
                <c:pt idx="23">
                  <c:v>-0.0182354746206235</c:v>
                </c:pt>
                <c:pt idx="24">
                  <c:v>-0.0243147456391637</c:v>
                </c:pt>
                <c:pt idx="25">
                  <c:v>-0.0303940166577037</c:v>
                </c:pt>
                <c:pt idx="26">
                  <c:v>-0.0364732876762439</c:v>
                </c:pt>
                <c:pt idx="27">
                  <c:v>-0.042552558694784</c:v>
                </c:pt>
                <c:pt idx="28">
                  <c:v>-0.0486318297133241</c:v>
                </c:pt>
                <c:pt idx="29">
                  <c:v>-0.0547111007318642</c:v>
                </c:pt>
                <c:pt idx="30">
                  <c:v>-0.0607903717504044</c:v>
                </c:pt>
                <c:pt idx="31">
                  <c:v>-0.0668696427689446</c:v>
                </c:pt>
                <c:pt idx="32">
                  <c:v>-0.0729489137874846</c:v>
                </c:pt>
                <c:pt idx="33">
                  <c:v>-0.0790281848060248</c:v>
                </c:pt>
                <c:pt idx="34">
                  <c:v>-0.0851074558245649</c:v>
                </c:pt>
                <c:pt idx="35">
                  <c:v>-0.0911867268431049</c:v>
                </c:pt>
                <c:pt idx="36">
                  <c:v>-0.0972659978616451</c:v>
                </c:pt>
                <c:pt idx="37">
                  <c:v>-0.103345268880185</c:v>
                </c:pt>
                <c:pt idx="38">
                  <c:v>-0.109424539898725</c:v>
                </c:pt>
                <c:pt idx="39">
                  <c:v>-0.115503810917265</c:v>
                </c:pt>
                <c:pt idx="40">
                  <c:v>-0.121583081935806</c:v>
                </c:pt>
                <c:pt idx="41">
                  <c:v>-0.127662352954346</c:v>
                </c:pt>
                <c:pt idx="42">
                  <c:v>-0.133741623972886</c:v>
                </c:pt>
                <c:pt idx="43">
                  <c:v>-0.139820894991426</c:v>
                </c:pt>
                <c:pt idx="44">
                  <c:v>-0.145900166009966</c:v>
                </c:pt>
                <c:pt idx="45">
                  <c:v>-0.151979437028506</c:v>
                </c:pt>
                <c:pt idx="46">
                  <c:v>-0.158058708047046</c:v>
                </c:pt>
                <c:pt idx="47">
                  <c:v>-0.164137979065587</c:v>
                </c:pt>
                <c:pt idx="48">
                  <c:v>-0.170217250084127</c:v>
                </c:pt>
                <c:pt idx="49">
                  <c:v>-0.176296521102667</c:v>
                </c:pt>
                <c:pt idx="50">
                  <c:v>-0.182375792121207</c:v>
                </c:pt>
                <c:pt idx="51">
                  <c:v>-0.188455063139747</c:v>
                </c:pt>
                <c:pt idx="52">
                  <c:v>-0.194534334158287</c:v>
                </c:pt>
                <c:pt idx="53">
                  <c:v>-0.200613605176828</c:v>
                </c:pt>
                <c:pt idx="54">
                  <c:v>-0.200613605176827</c:v>
                </c:pt>
                <c:pt idx="55">
                  <c:v>-0.200613605176827</c:v>
                </c:pt>
                <c:pt idx="56">
                  <c:v>-0.200613605176827</c:v>
                </c:pt>
                <c:pt idx="57">
                  <c:v>-0.200613605176827</c:v>
                </c:pt>
                <c:pt idx="58">
                  <c:v>-0.200613605176827</c:v>
                </c:pt>
                <c:pt idx="59">
                  <c:v>-0.200613605176827</c:v>
                </c:pt>
                <c:pt idx="60">
                  <c:v>-0.200613605176827</c:v>
                </c:pt>
                <c:pt idx="61">
                  <c:v>-0.200613605176827</c:v>
                </c:pt>
                <c:pt idx="62">
                  <c:v>-0.200613605176827</c:v>
                </c:pt>
                <c:pt idx="63">
                  <c:v>-0.200613605176827</c:v>
                </c:pt>
                <c:pt idx="64">
                  <c:v>-0.200613605176827</c:v>
                </c:pt>
                <c:pt idx="65">
                  <c:v>-0.200613605176826</c:v>
                </c:pt>
                <c:pt idx="66">
                  <c:v>-0.200613605176826</c:v>
                </c:pt>
                <c:pt idx="67">
                  <c:v>-0.200613605176826</c:v>
                </c:pt>
                <c:pt idx="68">
                  <c:v>-0.200613605176826</c:v>
                </c:pt>
                <c:pt idx="69">
                  <c:v>-0.200613605176826</c:v>
                </c:pt>
                <c:pt idx="70">
                  <c:v>-0.200613605176826</c:v>
                </c:pt>
                <c:pt idx="71">
                  <c:v>-0.200613605176826</c:v>
                </c:pt>
                <c:pt idx="72">
                  <c:v>-0.200613605176826</c:v>
                </c:pt>
                <c:pt idx="73">
                  <c:v>-0.200613605176826</c:v>
                </c:pt>
                <c:pt idx="74">
                  <c:v>-0.200613605176826</c:v>
                </c:pt>
                <c:pt idx="75">
                  <c:v>-0.200613605176826</c:v>
                </c:pt>
                <c:pt idx="76">
                  <c:v>-0.200613605176825</c:v>
                </c:pt>
                <c:pt idx="77">
                  <c:v>-0.200613605176825</c:v>
                </c:pt>
                <c:pt idx="78">
                  <c:v>-0.200613605176825</c:v>
                </c:pt>
                <c:pt idx="79">
                  <c:v>-0.200613605176825</c:v>
                </c:pt>
                <c:pt idx="80">
                  <c:v>-0.200613605176825</c:v>
                </c:pt>
                <c:pt idx="81">
                  <c:v>-0.200613605176825</c:v>
                </c:pt>
                <c:pt idx="82">
                  <c:v>-0.200613605176825</c:v>
                </c:pt>
                <c:pt idx="83">
                  <c:v>-0.200613605176825</c:v>
                </c:pt>
                <c:pt idx="84">
                  <c:v>-0.200613605176825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6578168"/>
        <c:axId val="2097360376"/>
      </c:lineChart>
      <c:catAx>
        <c:axId val="2066578168"/>
        <c:scaling>
          <c:orientation val="minMax"/>
        </c:scaling>
        <c:delete val="0"/>
        <c:axPos val="b"/>
        <c:majorTickMark val="out"/>
        <c:minorTickMark val="none"/>
        <c:tickLblPos val="nextTo"/>
        <c:crossAx val="2097360376"/>
        <c:crosses val="autoZero"/>
        <c:auto val="1"/>
        <c:lblAlgn val="ctr"/>
        <c:lblOffset val="100"/>
        <c:noMultiLvlLbl val="0"/>
      </c:catAx>
      <c:valAx>
        <c:axId val="209736037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2066578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</xdr:row>
      <xdr:rowOff>25400</xdr:rowOff>
    </xdr:from>
    <xdr:to>
      <xdr:col>23</xdr:col>
      <xdr:colOff>635000</xdr:colOff>
      <xdr:row>28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27</xdr:row>
      <xdr:rowOff>165100</xdr:rowOff>
    </xdr:from>
    <xdr:to>
      <xdr:col>23</xdr:col>
      <xdr:colOff>596900</xdr:colOff>
      <xdr:row>49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25400</xdr:colOff>
      <xdr:row>49</xdr:row>
      <xdr:rowOff>152400</xdr:rowOff>
    </xdr:from>
    <xdr:to>
      <xdr:col>23</xdr:col>
      <xdr:colOff>609600</xdr:colOff>
      <xdr:row>71</xdr:row>
      <xdr:rowOff>101600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266700</xdr:colOff>
      <xdr:row>0</xdr:row>
      <xdr:rowOff>0</xdr:rowOff>
    </xdr:from>
    <xdr:to>
      <xdr:col>25</xdr:col>
      <xdr:colOff>444500</xdr:colOff>
      <xdr:row>27</xdr:row>
      <xdr:rowOff>154296</xdr:rowOff>
    </xdr:to>
    <xdr:pic>
      <xdr:nvPicPr>
        <xdr:cNvPr id="4" name="Bild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903200" y="0"/>
          <a:ext cx="10083800" cy="53612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H18" sqref="H18:I18"/>
    </sheetView>
  </sheetViews>
  <sheetFormatPr baseColWidth="10" defaultRowHeight="15" x14ac:dyDescent="0"/>
  <sheetData>
    <row r="1" spans="1:13">
      <c r="A1" s="21" t="s">
        <v>91</v>
      </c>
      <c r="B1" s="4"/>
      <c r="C1" s="4"/>
      <c r="D1" s="4"/>
      <c r="E1" s="4"/>
      <c r="F1" s="4"/>
      <c r="G1" s="4"/>
      <c r="H1" s="5"/>
    </row>
    <row r="2" spans="1:13">
      <c r="A2" s="22" t="s">
        <v>33</v>
      </c>
      <c r="B2" s="23">
        <v>50</v>
      </c>
      <c r="C2" s="24" t="s">
        <v>12</v>
      </c>
      <c r="D2" s="24" t="s">
        <v>80</v>
      </c>
      <c r="E2" s="24"/>
      <c r="F2" s="24"/>
      <c r="G2" s="23" t="s">
        <v>87</v>
      </c>
      <c r="H2" s="25"/>
    </row>
    <row r="3" spans="1:13">
      <c r="A3" s="22" t="s">
        <v>34</v>
      </c>
      <c r="B3" s="23">
        <v>400</v>
      </c>
      <c r="C3" s="24" t="s">
        <v>69</v>
      </c>
      <c r="D3" s="24" t="s">
        <v>99</v>
      </c>
      <c r="E3" s="24"/>
      <c r="F3" s="24"/>
      <c r="G3" s="24"/>
      <c r="H3" s="26"/>
    </row>
    <row r="4" spans="1:13">
      <c r="A4" s="22" t="s">
        <v>41</v>
      </c>
      <c r="B4" s="23">
        <v>0.98</v>
      </c>
      <c r="C4" s="24"/>
      <c r="D4" s="24" t="s">
        <v>81</v>
      </c>
      <c r="E4" s="24"/>
      <c r="F4" s="24"/>
      <c r="G4" s="24"/>
      <c r="H4" s="26"/>
    </row>
    <row r="5" spans="1:13">
      <c r="A5" s="22" t="s">
        <v>36</v>
      </c>
      <c r="B5" s="23">
        <v>1000</v>
      </c>
      <c r="C5" s="24" t="s">
        <v>60</v>
      </c>
      <c r="D5" s="24" t="s">
        <v>79</v>
      </c>
      <c r="E5" s="24"/>
      <c r="F5" s="24"/>
      <c r="G5" s="24"/>
      <c r="H5" s="26"/>
    </row>
    <row r="6" spans="1:13">
      <c r="A6" s="27" t="s">
        <v>37</v>
      </c>
      <c r="B6" s="23">
        <v>0.01</v>
      </c>
      <c r="C6" s="24" t="s">
        <v>61</v>
      </c>
      <c r="D6" s="28" t="s">
        <v>82</v>
      </c>
      <c r="E6" s="24"/>
      <c r="F6" s="28"/>
      <c r="G6" s="24"/>
      <c r="H6" s="29"/>
    </row>
    <row r="7" spans="1:13">
      <c r="A7" s="30" t="s">
        <v>2</v>
      </c>
      <c r="B7" s="31">
        <v>5.9999999999999995E-4</v>
      </c>
      <c r="C7" s="15" t="s">
        <v>62</v>
      </c>
      <c r="D7" s="15" t="s">
        <v>84</v>
      </c>
      <c r="E7" s="15"/>
      <c r="F7" s="15"/>
      <c r="G7" s="15"/>
      <c r="H7" s="16"/>
    </row>
    <row r="8" spans="1:13">
      <c r="B8" s="20"/>
    </row>
    <row r="9" spans="1:13">
      <c r="A9" s="21" t="s">
        <v>88</v>
      </c>
      <c r="B9" s="4"/>
      <c r="C9" s="4"/>
      <c r="D9" s="4"/>
      <c r="E9" s="4"/>
      <c r="F9" s="5"/>
      <c r="H9" s="21" t="s">
        <v>89</v>
      </c>
      <c r="I9" s="4"/>
      <c r="J9" s="4"/>
      <c r="K9" s="4"/>
      <c r="L9" s="4"/>
      <c r="M9" s="5"/>
    </row>
    <row r="10" spans="1:13">
      <c r="A10" s="22" t="s">
        <v>63</v>
      </c>
      <c r="B10" s="32">
        <f>2*PI()*B2</f>
        <v>314.15926535897933</v>
      </c>
      <c r="C10" s="24" t="s">
        <v>13</v>
      </c>
      <c r="D10" s="24"/>
      <c r="E10" s="24"/>
      <c r="F10" s="26"/>
      <c r="H10" s="22" t="s">
        <v>63</v>
      </c>
      <c r="I10" s="32">
        <f>2*PI()*B2</f>
        <v>314.15926535897933</v>
      </c>
      <c r="J10" s="24" t="s">
        <v>13</v>
      </c>
      <c r="K10" s="24"/>
      <c r="L10" s="24"/>
      <c r="M10" s="26"/>
    </row>
    <row r="11" spans="1:13">
      <c r="A11" s="22" t="s">
        <v>39</v>
      </c>
      <c r="B11" s="33">
        <f>B5/B10</f>
        <v>3.1830988618379066</v>
      </c>
      <c r="C11" s="24" t="s">
        <v>67</v>
      </c>
      <c r="D11" s="24" t="s">
        <v>77</v>
      </c>
      <c r="E11" s="24"/>
      <c r="F11" s="26"/>
      <c r="H11" s="22" t="s">
        <v>39</v>
      </c>
      <c r="I11" s="33">
        <f>B5/I10</f>
        <v>3.1830988618379066</v>
      </c>
      <c r="J11" s="24" t="s">
        <v>67</v>
      </c>
      <c r="K11" s="24" t="s">
        <v>77</v>
      </c>
      <c r="L11" s="24"/>
      <c r="M11" s="26"/>
    </row>
    <row r="12" spans="1:13">
      <c r="A12" s="22" t="s">
        <v>64</v>
      </c>
      <c r="B12" s="32">
        <f>B5/B4</f>
        <v>1020.4081632653061</v>
      </c>
      <c r="C12" s="24" t="s">
        <v>60</v>
      </c>
      <c r="D12" s="24" t="s">
        <v>78</v>
      </c>
      <c r="E12" s="32"/>
      <c r="F12" s="26"/>
      <c r="H12" s="22" t="s">
        <v>64</v>
      </c>
      <c r="I12" s="32">
        <f>B4*B5</f>
        <v>980</v>
      </c>
      <c r="J12" s="24" t="s">
        <v>60</v>
      </c>
      <c r="K12" s="24" t="s">
        <v>78</v>
      </c>
      <c r="L12" s="32"/>
      <c r="M12" s="26"/>
    </row>
    <row r="13" spans="1:13">
      <c r="A13" s="22" t="s">
        <v>35</v>
      </c>
      <c r="B13" s="33">
        <f>B12/B3</f>
        <v>2.5510204081632653</v>
      </c>
      <c r="C13" s="24" t="s">
        <v>68</v>
      </c>
      <c r="D13" s="24" t="s">
        <v>98</v>
      </c>
      <c r="E13" s="24"/>
      <c r="F13" s="26"/>
      <c r="H13" s="22" t="s">
        <v>65</v>
      </c>
      <c r="I13" s="33">
        <f>B5/B3</f>
        <v>2.5</v>
      </c>
      <c r="J13" s="24" t="s">
        <v>68</v>
      </c>
      <c r="K13" s="24" t="s">
        <v>76</v>
      </c>
      <c r="L13" s="24"/>
      <c r="M13" s="26"/>
    </row>
    <row r="14" spans="1:13">
      <c r="A14" s="27" t="s">
        <v>42</v>
      </c>
      <c r="B14" s="32">
        <f>B12*(1-B4)/(B13^2)</f>
        <v>3.1360000000000028</v>
      </c>
      <c r="C14" s="24" t="s">
        <v>72</v>
      </c>
      <c r="D14" s="24" t="s">
        <v>71</v>
      </c>
      <c r="E14" s="28">
        <f>B14*B13*B13</f>
        <v>20.40816326530614</v>
      </c>
      <c r="F14" s="26" t="s">
        <v>60</v>
      </c>
      <c r="H14" s="27" t="s">
        <v>42</v>
      </c>
      <c r="I14" s="32">
        <f>B5*(1-B4)/I13^2</f>
        <v>3.2000000000000028</v>
      </c>
      <c r="J14" s="24" t="s">
        <v>72</v>
      </c>
      <c r="K14" s="24" t="s">
        <v>71</v>
      </c>
      <c r="L14" s="34">
        <f>I14*I13*I13</f>
        <v>20.000000000000018</v>
      </c>
      <c r="M14" s="26" t="s">
        <v>60</v>
      </c>
    </row>
    <row r="15" spans="1:13">
      <c r="A15" s="27" t="s">
        <v>66</v>
      </c>
      <c r="B15" s="33">
        <f>B11/(3*B13)</f>
        <v>0.41592491794681979</v>
      </c>
      <c r="C15" s="24" t="s">
        <v>70</v>
      </c>
      <c r="D15" s="24" t="s">
        <v>85</v>
      </c>
      <c r="E15" s="24"/>
      <c r="F15" s="26"/>
      <c r="H15" s="27" t="s">
        <v>66</v>
      </c>
      <c r="I15" s="33">
        <f>I11/(I13*3)</f>
        <v>0.42441318157838753</v>
      </c>
      <c r="J15" s="24" t="s">
        <v>70</v>
      </c>
      <c r="K15" s="24" t="s">
        <v>85</v>
      </c>
      <c r="L15" s="24"/>
      <c r="M15" s="26"/>
    </row>
    <row r="16" spans="1:13">
      <c r="A16" s="22"/>
      <c r="B16" s="24"/>
      <c r="C16" s="24"/>
      <c r="D16" s="24"/>
      <c r="E16" s="24"/>
      <c r="F16" s="26"/>
      <c r="H16" s="22" t="s">
        <v>38</v>
      </c>
      <c r="I16" s="24">
        <f>B3^2/(2*B5)</f>
        <v>80</v>
      </c>
      <c r="J16" s="24"/>
      <c r="K16" s="24"/>
      <c r="L16" s="34"/>
      <c r="M16" s="26"/>
    </row>
    <row r="17" spans="1:13">
      <c r="A17" s="36"/>
      <c r="B17" s="37"/>
      <c r="C17" s="15"/>
      <c r="D17" s="15"/>
      <c r="E17" s="15"/>
      <c r="F17" s="16"/>
      <c r="H17" s="35"/>
      <c r="I17" s="15"/>
      <c r="J17" s="15"/>
      <c r="K17" s="15"/>
      <c r="L17" s="15"/>
      <c r="M17" s="16"/>
    </row>
    <row r="18" spans="1:13">
      <c r="A18" s="39" t="s">
        <v>86</v>
      </c>
      <c r="B18" s="40"/>
      <c r="H18" s="39" t="s">
        <v>86</v>
      </c>
      <c r="I18" s="40"/>
    </row>
    <row r="19" spans="1:13">
      <c r="A19" s="20"/>
      <c r="B19" s="20"/>
      <c r="C19" s="10"/>
    </row>
    <row r="20" spans="1:13">
      <c r="A20" s="24"/>
      <c r="B20" s="24"/>
      <c r="C20" s="24"/>
      <c r="D20" s="24"/>
    </row>
    <row r="21" spans="1:13">
      <c r="A21" s="24"/>
      <c r="B21" s="24"/>
      <c r="C21" s="24"/>
      <c r="D21" s="24"/>
    </row>
    <row r="22" spans="1:13">
      <c r="A22" s="24"/>
      <c r="B22" s="24"/>
      <c r="C22" s="24"/>
      <c r="D22" s="24"/>
    </row>
    <row r="23" spans="1:13">
      <c r="A23" s="24"/>
      <c r="B23" s="24"/>
      <c r="C23" s="24"/>
      <c r="D23" s="24"/>
    </row>
    <row r="24" spans="1:13">
      <c r="A24" s="24"/>
      <c r="B24" s="24"/>
      <c r="C24" s="24"/>
      <c r="D24" s="24"/>
    </row>
    <row r="25" spans="1:13">
      <c r="A25" s="24"/>
      <c r="B25" s="24"/>
      <c r="C25" s="34"/>
      <c r="D25" s="2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workbookViewId="0">
      <selection activeCell="O7" sqref="O7"/>
    </sheetView>
  </sheetViews>
  <sheetFormatPr baseColWidth="10" defaultRowHeight="15" x14ac:dyDescent="0"/>
  <cols>
    <col min="9" max="9" width="13.5" bestFit="1" customWidth="1"/>
  </cols>
  <sheetData>
    <row r="1" spans="1:13">
      <c r="A1" s="41" t="s">
        <v>91</v>
      </c>
      <c r="B1" s="42"/>
      <c r="C1" s="42"/>
      <c r="D1" s="42"/>
      <c r="E1" s="42"/>
      <c r="F1" s="42"/>
      <c r="G1" s="42"/>
      <c r="H1" s="77"/>
      <c r="I1" s="42"/>
      <c r="J1" s="21" t="s">
        <v>153</v>
      </c>
      <c r="K1" s="4"/>
      <c r="L1" s="4"/>
      <c r="M1" s="5"/>
    </row>
    <row r="2" spans="1:13">
      <c r="A2" s="44" t="s">
        <v>33</v>
      </c>
      <c r="B2" s="23">
        <v>50</v>
      </c>
      <c r="C2" s="24" t="s">
        <v>12</v>
      </c>
      <c r="D2" s="24" t="s">
        <v>80</v>
      </c>
      <c r="E2" s="24"/>
      <c r="F2" s="24"/>
      <c r="G2" s="23" t="s">
        <v>87</v>
      </c>
      <c r="H2" s="25"/>
      <c r="I2" s="24"/>
      <c r="J2" s="22" t="s">
        <v>154</v>
      </c>
      <c r="K2" s="23">
        <v>5</v>
      </c>
      <c r="L2" s="24" t="s">
        <v>43</v>
      </c>
      <c r="M2" s="26"/>
    </row>
    <row r="3" spans="1:13">
      <c r="A3" s="44" t="s">
        <v>58</v>
      </c>
      <c r="B3" s="23">
        <v>400</v>
      </c>
      <c r="C3" s="24" t="s">
        <v>59</v>
      </c>
      <c r="D3" s="24" t="s">
        <v>73</v>
      </c>
      <c r="E3" s="24"/>
      <c r="F3" s="24"/>
      <c r="G3" s="24"/>
      <c r="H3" s="26"/>
      <c r="I3" s="24"/>
      <c r="J3" s="22" t="s">
        <v>155</v>
      </c>
      <c r="K3" s="23">
        <v>20</v>
      </c>
      <c r="L3" s="24" t="s">
        <v>30</v>
      </c>
      <c r="M3" s="26"/>
    </row>
    <row r="4" spans="1:13">
      <c r="A4" s="44" t="s">
        <v>41</v>
      </c>
      <c r="B4" s="23">
        <v>0.98</v>
      </c>
      <c r="C4" s="24"/>
      <c r="D4" s="24" t="s">
        <v>81</v>
      </c>
      <c r="E4" s="24"/>
      <c r="F4" s="24"/>
      <c r="G4" s="24"/>
      <c r="H4" s="26"/>
      <c r="I4" s="24"/>
      <c r="J4" s="22" t="s">
        <v>14</v>
      </c>
      <c r="K4" s="28">
        <f>K3*K2/3.6</f>
        <v>27.777777777777779</v>
      </c>
      <c r="L4" s="24" t="s">
        <v>18</v>
      </c>
      <c r="M4" s="26"/>
    </row>
    <row r="5" spans="1:13">
      <c r="A5" s="44" t="s">
        <v>36</v>
      </c>
      <c r="B5" s="23">
        <v>1000</v>
      </c>
      <c r="C5" s="24" t="s">
        <v>60</v>
      </c>
      <c r="D5" s="24" t="s">
        <v>79</v>
      </c>
      <c r="E5" s="24"/>
      <c r="F5" s="24"/>
      <c r="G5" s="24"/>
      <c r="H5" s="26"/>
      <c r="I5" s="24"/>
      <c r="J5" s="35" t="s">
        <v>2</v>
      </c>
      <c r="K5" s="80">
        <f>2*K2*K3*1000000/((2*PI()*B2)^2)</f>
        <v>2026.4236728467554</v>
      </c>
      <c r="L5" s="15" t="s">
        <v>62</v>
      </c>
      <c r="M5" s="16"/>
    </row>
    <row r="6" spans="1:13">
      <c r="A6" s="69" t="s">
        <v>37</v>
      </c>
      <c r="B6" s="23">
        <v>0.01</v>
      </c>
      <c r="C6" s="24" t="s">
        <v>61</v>
      </c>
      <c r="D6" s="28" t="s">
        <v>82</v>
      </c>
      <c r="E6" s="24"/>
      <c r="F6" s="28">
        <f>B6*B10</f>
        <v>3.1415926535897931</v>
      </c>
      <c r="G6" s="24" t="s">
        <v>72</v>
      </c>
      <c r="H6" s="29" t="s">
        <v>83</v>
      </c>
      <c r="I6" s="24"/>
      <c r="J6" s="24"/>
      <c r="K6" s="24"/>
      <c r="L6" s="24"/>
      <c r="M6" s="45"/>
    </row>
    <row r="7" spans="1:13">
      <c r="A7" s="70" t="s">
        <v>2</v>
      </c>
      <c r="B7" s="31">
        <v>5.9999999999999995E-4</v>
      </c>
      <c r="C7" s="15" t="s">
        <v>62</v>
      </c>
      <c r="D7" s="15" t="s">
        <v>84</v>
      </c>
      <c r="E7" s="15"/>
      <c r="F7" s="15"/>
      <c r="G7" s="15"/>
      <c r="H7" s="16"/>
      <c r="I7" s="24"/>
      <c r="J7" s="24"/>
      <c r="K7" s="24"/>
      <c r="L7" s="24"/>
      <c r="M7" s="45"/>
    </row>
    <row r="8" spans="1:13">
      <c r="A8" s="44"/>
      <c r="B8" s="63"/>
      <c r="C8" s="24"/>
      <c r="D8" s="24"/>
      <c r="E8" s="24"/>
      <c r="F8" s="24"/>
      <c r="G8" s="24"/>
      <c r="H8" s="24"/>
      <c r="I8" s="24"/>
      <c r="J8" s="24"/>
      <c r="K8" s="24"/>
      <c r="L8" s="24"/>
      <c r="M8" s="45"/>
    </row>
    <row r="9" spans="1:13">
      <c r="A9" s="68" t="s">
        <v>88</v>
      </c>
      <c r="B9" s="4"/>
      <c r="C9" s="4"/>
      <c r="D9" s="4"/>
      <c r="E9" s="4"/>
      <c r="F9" s="5"/>
      <c r="G9" s="24"/>
      <c r="H9" s="21" t="s">
        <v>89</v>
      </c>
      <c r="I9" s="4"/>
      <c r="J9" s="4"/>
      <c r="K9" s="4"/>
      <c r="L9" s="4"/>
      <c r="M9" s="72"/>
    </row>
    <row r="10" spans="1:13">
      <c r="A10" s="44" t="s">
        <v>63</v>
      </c>
      <c r="B10" s="32">
        <f>2*PI()*B2</f>
        <v>314.15926535897933</v>
      </c>
      <c r="C10" s="24" t="s">
        <v>13</v>
      </c>
      <c r="D10" s="24"/>
      <c r="E10" s="24"/>
      <c r="F10" s="26"/>
      <c r="G10" s="24"/>
      <c r="H10" s="22" t="s">
        <v>63</v>
      </c>
      <c r="I10" s="32">
        <f>2*PI()*B2</f>
        <v>314.15926535897933</v>
      </c>
      <c r="J10" s="24" t="s">
        <v>13</v>
      </c>
      <c r="K10" s="24"/>
      <c r="L10" s="24"/>
      <c r="M10" s="45"/>
    </row>
    <row r="11" spans="1:13">
      <c r="A11" s="44" t="s">
        <v>39</v>
      </c>
      <c r="B11" s="33">
        <f>B5/B10</f>
        <v>3.1830988618379066</v>
      </c>
      <c r="C11" s="24" t="s">
        <v>67</v>
      </c>
      <c r="D11" s="24" t="s">
        <v>77</v>
      </c>
      <c r="E11" s="24"/>
      <c r="F11" s="26"/>
      <c r="G11" s="24"/>
      <c r="H11" s="22" t="s">
        <v>39</v>
      </c>
      <c r="I11" s="33">
        <f>B5/I10</f>
        <v>3.1830988618379066</v>
      </c>
      <c r="J11" s="24" t="s">
        <v>67</v>
      </c>
      <c r="K11" s="24" t="s">
        <v>77</v>
      </c>
      <c r="L11" s="24"/>
      <c r="M11" s="45"/>
    </row>
    <row r="12" spans="1:13">
      <c r="A12" s="44" t="s">
        <v>64</v>
      </c>
      <c r="B12" s="32">
        <f>B5/B4</f>
        <v>1020.4081632653061</v>
      </c>
      <c r="C12" s="24" t="s">
        <v>60</v>
      </c>
      <c r="D12" s="24" t="s">
        <v>78</v>
      </c>
      <c r="E12" s="32"/>
      <c r="F12" s="26"/>
      <c r="G12" s="24"/>
      <c r="H12" s="22" t="s">
        <v>64</v>
      </c>
      <c r="I12" s="32">
        <f>B4*B5</f>
        <v>980</v>
      </c>
      <c r="J12" s="24" t="s">
        <v>60</v>
      </c>
      <c r="K12" s="24" t="s">
        <v>78</v>
      </c>
      <c r="L12" s="32"/>
      <c r="M12" s="45"/>
    </row>
    <row r="13" spans="1:13">
      <c r="A13" s="44" t="s">
        <v>65</v>
      </c>
      <c r="B13" s="33">
        <f>B12/(B3*SQRT(3))</f>
        <v>1.4728323193612902</v>
      </c>
      <c r="C13" s="24" t="s">
        <v>68</v>
      </c>
      <c r="D13" s="24" t="s">
        <v>76</v>
      </c>
      <c r="E13" s="24"/>
      <c r="F13" s="26"/>
      <c r="G13" s="24"/>
      <c r="H13" s="22" t="s">
        <v>65</v>
      </c>
      <c r="I13" s="33">
        <f>B5/(B3*SQRT(3))</f>
        <v>1.4433756729740645</v>
      </c>
      <c r="J13" s="24" t="s">
        <v>68</v>
      </c>
      <c r="K13" s="24" t="s">
        <v>76</v>
      </c>
      <c r="L13" s="24"/>
      <c r="M13" s="45"/>
    </row>
    <row r="14" spans="1:13">
      <c r="A14" s="44" t="s">
        <v>34</v>
      </c>
      <c r="B14" s="32">
        <f>B3*SQRT(2)</f>
        <v>565.68542494923804</v>
      </c>
      <c r="C14" s="24" t="s">
        <v>69</v>
      </c>
      <c r="D14" s="24" t="s">
        <v>74</v>
      </c>
      <c r="E14" s="24"/>
      <c r="F14" s="26"/>
      <c r="G14" s="24"/>
      <c r="H14" s="22" t="s">
        <v>34</v>
      </c>
      <c r="I14" s="32">
        <f>B3*SQRT(2)</f>
        <v>565.68542494923804</v>
      </c>
      <c r="J14" s="24" t="s">
        <v>69</v>
      </c>
      <c r="K14" s="24" t="s">
        <v>74</v>
      </c>
      <c r="L14" s="24"/>
      <c r="M14" s="45"/>
    </row>
    <row r="15" spans="1:13">
      <c r="A15" s="44" t="s">
        <v>35</v>
      </c>
      <c r="B15" s="33">
        <f>B13*SQRT(2)</f>
        <v>2.0828994411421582</v>
      </c>
      <c r="C15" s="24" t="s">
        <v>68</v>
      </c>
      <c r="D15" s="24" t="s">
        <v>75</v>
      </c>
      <c r="E15" s="24"/>
      <c r="F15" s="26"/>
      <c r="G15" s="24"/>
      <c r="H15" s="22" t="s">
        <v>35</v>
      </c>
      <c r="I15" s="33">
        <f>I13*SQRT(2)</f>
        <v>2.0412414523193152</v>
      </c>
      <c r="J15" s="24" t="s">
        <v>68</v>
      </c>
      <c r="K15" s="24" t="s">
        <v>75</v>
      </c>
      <c r="L15" s="24"/>
      <c r="M15" s="45"/>
    </row>
    <row r="16" spans="1:13">
      <c r="A16" s="69" t="s">
        <v>42</v>
      </c>
      <c r="B16" s="32">
        <f>B12*(1-B4)/(B13^2)</f>
        <v>9.4080000000000084</v>
      </c>
      <c r="C16" s="24" t="s">
        <v>72</v>
      </c>
      <c r="D16" s="24" t="s">
        <v>71</v>
      </c>
      <c r="E16" s="28">
        <f>B16*B13*B13</f>
        <v>20.40816326530614</v>
      </c>
      <c r="F16" s="26" t="s">
        <v>60</v>
      </c>
      <c r="G16" s="24"/>
      <c r="H16" s="27" t="s">
        <v>42</v>
      </c>
      <c r="I16" s="32">
        <f>B5*(1-B4)/I13^2</f>
        <v>9.600000000000005</v>
      </c>
      <c r="J16" s="24" t="s">
        <v>72</v>
      </c>
      <c r="K16" s="24" t="s">
        <v>71</v>
      </c>
      <c r="L16" s="34">
        <f>I16*I13*I13</f>
        <v>20.000000000000014</v>
      </c>
      <c r="M16" s="45" t="s">
        <v>60</v>
      </c>
    </row>
    <row r="17" spans="1:13">
      <c r="A17" s="69" t="s">
        <v>66</v>
      </c>
      <c r="B17" s="33">
        <f>B11/(3*B13)</f>
        <v>0.72040309001780822</v>
      </c>
      <c r="C17" s="24" t="s">
        <v>70</v>
      </c>
      <c r="D17" s="24" t="s">
        <v>85</v>
      </c>
      <c r="E17" s="24"/>
      <c r="F17" s="26"/>
      <c r="G17" s="24"/>
      <c r="H17" s="27" t="s">
        <v>66</v>
      </c>
      <c r="I17" s="33">
        <f>I11/(I13*3)</f>
        <v>0.7351051938957226</v>
      </c>
      <c r="J17" s="24" t="s">
        <v>70</v>
      </c>
      <c r="K17" s="24" t="s">
        <v>85</v>
      </c>
      <c r="L17" s="24"/>
      <c r="M17" s="45"/>
    </row>
    <row r="18" spans="1:13">
      <c r="A18" s="44"/>
      <c r="B18" s="24"/>
      <c r="C18" s="24"/>
      <c r="D18" s="24"/>
      <c r="E18" s="24"/>
      <c r="F18" s="26"/>
      <c r="G18" s="24"/>
      <c r="H18" s="22" t="s">
        <v>38</v>
      </c>
      <c r="I18" s="24">
        <f>B3^2/(2*B5)</f>
        <v>80</v>
      </c>
      <c r="J18" s="24"/>
      <c r="K18" s="24" t="s">
        <v>90</v>
      </c>
      <c r="L18" s="34">
        <f>I18*I15*I15</f>
        <v>333.33333333333337</v>
      </c>
      <c r="M18" s="45" t="s">
        <v>60</v>
      </c>
    </row>
    <row r="19" spans="1:13">
      <c r="A19" s="78"/>
      <c r="B19" s="37"/>
      <c r="C19" s="15"/>
      <c r="D19" s="15"/>
      <c r="E19" s="15"/>
      <c r="F19" s="16"/>
      <c r="G19" s="24"/>
      <c r="H19" s="35"/>
      <c r="I19" s="15"/>
      <c r="J19" s="15"/>
      <c r="K19" s="15"/>
      <c r="L19" s="15"/>
      <c r="M19" s="73"/>
    </row>
    <row r="20" spans="1:13" ht="16" thickBot="1">
      <c r="A20" s="79" t="s">
        <v>86</v>
      </c>
      <c r="B20" s="76"/>
      <c r="C20" s="74"/>
      <c r="D20" s="74"/>
      <c r="E20" s="74"/>
      <c r="F20" s="74"/>
      <c r="G20" s="74"/>
      <c r="H20" s="75" t="s">
        <v>86</v>
      </c>
      <c r="I20" s="76"/>
      <c r="J20" s="74"/>
      <c r="K20" s="74"/>
      <c r="L20" s="74"/>
      <c r="M20" s="47"/>
    </row>
    <row r="21" spans="1:13" s="20" customFormat="1">
      <c r="A21" s="63"/>
      <c r="B21" s="63"/>
      <c r="H21" s="63"/>
      <c r="I21" s="63"/>
    </row>
    <row r="22" spans="1:13" s="20" customFormat="1">
      <c r="A22" s="21" t="s">
        <v>92</v>
      </c>
      <c r="B22" s="4"/>
      <c r="C22" s="4"/>
      <c r="D22" s="5"/>
      <c r="H22" s="63"/>
      <c r="I22" s="63"/>
    </row>
    <row r="23" spans="1:13" s="20" customFormat="1">
      <c r="A23" s="22" t="s">
        <v>93</v>
      </c>
      <c r="B23" s="24">
        <v>2</v>
      </c>
      <c r="C23" s="24"/>
      <c r="D23" s="26"/>
      <c r="H23" s="63"/>
      <c r="I23" s="63"/>
    </row>
    <row r="24" spans="1:13" s="20" customFormat="1">
      <c r="A24" s="22" t="s">
        <v>58</v>
      </c>
      <c r="B24" s="24">
        <v>20</v>
      </c>
      <c r="C24" s="24" t="s">
        <v>94</v>
      </c>
      <c r="D24" s="26"/>
      <c r="H24" s="63"/>
      <c r="I24" s="63"/>
    </row>
    <row r="25" spans="1:13" s="20" customFormat="1">
      <c r="A25" s="22" t="s">
        <v>95</v>
      </c>
      <c r="B25" s="24">
        <v>100</v>
      </c>
      <c r="C25" s="24" t="s">
        <v>30</v>
      </c>
      <c r="D25" s="26"/>
      <c r="H25" s="63"/>
      <c r="I25" s="63"/>
    </row>
    <row r="26" spans="1:13" s="20" customFormat="1">
      <c r="A26" s="22" t="s">
        <v>96</v>
      </c>
      <c r="B26" s="24"/>
      <c r="C26" s="24">
        <f>B23*((B24*1000)^2)/(B25*1000000)</f>
        <v>8</v>
      </c>
      <c r="D26" s="26" t="s">
        <v>72</v>
      </c>
      <c r="H26" s="63"/>
      <c r="I26" s="63"/>
    </row>
    <row r="27" spans="1:13" s="20" customFormat="1">
      <c r="A27" s="35"/>
      <c r="B27" s="15" t="s">
        <v>37</v>
      </c>
      <c r="C27" s="38">
        <f>1000*C26/(2*PI()*B2)</f>
        <v>25.464790894703253</v>
      </c>
      <c r="D27" s="16" t="s">
        <v>97</v>
      </c>
      <c r="H27" s="63"/>
      <c r="I27" s="63"/>
    </row>
    <row r="28" spans="1:13" ht="16" thickBot="1">
      <c r="A28" s="63"/>
      <c r="B28" s="63"/>
      <c r="C28" s="20"/>
      <c r="D28" s="20"/>
      <c r="E28" s="20"/>
      <c r="F28" s="20"/>
      <c r="G28" s="20"/>
      <c r="H28" s="63"/>
      <c r="I28" s="63"/>
    </row>
    <row r="29" spans="1:13">
      <c r="A29" s="65" t="s">
        <v>152</v>
      </c>
      <c r="B29" s="66"/>
      <c r="C29" s="67"/>
      <c r="D29" s="42"/>
      <c r="E29" s="42"/>
      <c r="F29" s="42"/>
      <c r="G29" s="42"/>
      <c r="H29" s="42"/>
      <c r="I29" s="42"/>
      <c r="J29" s="42"/>
      <c r="K29" s="42"/>
      <c r="L29" s="42"/>
      <c r="M29" s="43"/>
    </row>
    <row r="30" spans="1:13">
      <c r="A30" s="68" t="s">
        <v>91</v>
      </c>
      <c r="B30" s="4"/>
      <c r="C30" s="4"/>
      <c r="D30" s="4"/>
      <c r="E30" s="4"/>
      <c r="F30" s="4"/>
      <c r="G30" s="4"/>
      <c r="H30" s="5"/>
      <c r="I30" s="24"/>
      <c r="J30" s="24"/>
      <c r="K30" s="24"/>
      <c r="L30" s="24"/>
      <c r="M30" s="45"/>
    </row>
    <row r="31" spans="1:13">
      <c r="A31" s="44" t="s">
        <v>33</v>
      </c>
      <c r="B31" s="23">
        <v>50</v>
      </c>
      <c r="C31" s="24" t="s">
        <v>12</v>
      </c>
      <c r="D31" s="24" t="s">
        <v>80</v>
      </c>
      <c r="E31" s="24"/>
      <c r="F31" s="24"/>
      <c r="G31" s="23" t="s">
        <v>87</v>
      </c>
      <c r="H31" s="25"/>
      <c r="I31" s="24"/>
      <c r="J31" s="24"/>
      <c r="K31" s="24"/>
      <c r="L31" s="24"/>
      <c r="M31" s="45"/>
    </row>
    <row r="32" spans="1:13">
      <c r="A32" s="44" t="s">
        <v>58</v>
      </c>
      <c r="B32" s="23">
        <v>20000</v>
      </c>
      <c r="C32" s="24" t="s">
        <v>59</v>
      </c>
      <c r="D32" s="24" t="s">
        <v>73</v>
      </c>
      <c r="E32" s="24"/>
      <c r="F32" s="24"/>
      <c r="G32" s="24"/>
      <c r="H32" s="26"/>
      <c r="I32" s="24"/>
      <c r="J32" s="24"/>
      <c r="K32" s="24"/>
      <c r="L32" s="24"/>
      <c r="M32" s="45"/>
    </row>
    <row r="33" spans="1:13">
      <c r="A33" s="44" t="s">
        <v>41</v>
      </c>
      <c r="B33" s="23">
        <v>0.99</v>
      </c>
      <c r="C33" s="24"/>
      <c r="D33" s="24" t="s">
        <v>81</v>
      </c>
      <c r="E33" s="24"/>
      <c r="F33" s="24"/>
      <c r="G33" s="24"/>
      <c r="H33" s="26"/>
      <c r="I33" s="24"/>
      <c r="J33" s="24"/>
      <c r="K33" s="24"/>
      <c r="L33" s="24"/>
      <c r="M33" s="45"/>
    </row>
    <row r="34" spans="1:13">
      <c r="A34" s="44" t="s">
        <v>36</v>
      </c>
      <c r="B34" s="23">
        <v>120000000</v>
      </c>
      <c r="C34" s="24" t="s">
        <v>60</v>
      </c>
      <c r="D34" s="24" t="s">
        <v>79</v>
      </c>
      <c r="E34" s="24"/>
      <c r="F34" s="24"/>
      <c r="G34" s="24"/>
      <c r="H34" s="26"/>
      <c r="I34" s="24"/>
      <c r="J34" s="24"/>
      <c r="K34" s="24"/>
      <c r="L34" s="24"/>
      <c r="M34" s="45"/>
    </row>
    <row r="35" spans="1:13">
      <c r="A35" s="69" t="s">
        <v>37</v>
      </c>
      <c r="B35" s="23">
        <v>2.5000000000000001E-2</v>
      </c>
      <c r="C35" s="24" t="s">
        <v>61</v>
      </c>
      <c r="D35" s="28" t="s">
        <v>82</v>
      </c>
      <c r="E35" s="24"/>
      <c r="F35" s="28">
        <f>B35*B24</f>
        <v>0.5</v>
      </c>
      <c r="G35" s="24" t="s">
        <v>72</v>
      </c>
      <c r="H35" s="29" t="s">
        <v>83</v>
      </c>
      <c r="I35" s="24"/>
      <c r="J35" s="24"/>
      <c r="K35" s="24"/>
      <c r="L35" s="24"/>
      <c r="M35" s="45"/>
    </row>
    <row r="36" spans="1:13">
      <c r="A36" s="70" t="s">
        <v>2</v>
      </c>
      <c r="B36" s="31">
        <v>600</v>
      </c>
      <c r="C36" s="15" t="s">
        <v>62</v>
      </c>
      <c r="D36" s="15" t="s">
        <v>84</v>
      </c>
      <c r="E36" s="15"/>
      <c r="F36" s="15"/>
      <c r="G36" s="15"/>
      <c r="H36" s="16"/>
      <c r="I36" s="24"/>
      <c r="J36" s="24"/>
      <c r="K36" s="24"/>
      <c r="L36" s="24"/>
      <c r="M36" s="45"/>
    </row>
    <row r="37" spans="1:13">
      <c r="A37" s="71"/>
      <c r="B37" s="6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45"/>
    </row>
    <row r="38" spans="1:13">
      <c r="A38" s="44"/>
      <c r="B38" s="24"/>
      <c r="C38" s="24"/>
      <c r="D38" s="24"/>
      <c r="E38" s="24"/>
      <c r="F38" s="24"/>
      <c r="G38" s="24"/>
      <c r="H38" s="21" t="s">
        <v>89</v>
      </c>
      <c r="I38" s="4"/>
      <c r="J38" s="4"/>
      <c r="K38" s="4"/>
      <c r="L38" s="4"/>
      <c r="M38" s="72"/>
    </row>
    <row r="39" spans="1:13">
      <c r="A39" s="44"/>
      <c r="B39" s="24"/>
      <c r="C39" s="24"/>
      <c r="D39" s="24"/>
      <c r="E39" s="24"/>
      <c r="F39" s="24"/>
      <c r="G39" s="24"/>
      <c r="H39" s="22" t="s">
        <v>63</v>
      </c>
      <c r="I39" s="32">
        <f>2*PI()*B2</f>
        <v>314.15926535897933</v>
      </c>
      <c r="J39" s="24" t="s">
        <v>13</v>
      </c>
      <c r="K39" s="24"/>
      <c r="L39" s="24"/>
      <c r="M39" s="45"/>
    </row>
    <row r="40" spans="1:13">
      <c r="A40" s="44"/>
      <c r="B40" s="24"/>
      <c r="C40" s="24"/>
      <c r="D40" s="24"/>
      <c r="E40" s="24"/>
      <c r="F40" s="24"/>
      <c r="G40" s="24"/>
      <c r="H40" s="22" t="s">
        <v>39</v>
      </c>
      <c r="I40" s="33">
        <f>B34/I39</f>
        <v>381971.86342054879</v>
      </c>
      <c r="J40" s="24" t="s">
        <v>67</v>
      </c>
      <c r="K40" s="24" t="s">
        <v>77</v>
      </c>
      <c r="L40" s="24"/>
      <c r="M40" s="45"/>
    </row>
    <row r="41" spans="1:13">
      <c r="A41" s="44"/>
      <c r="B41" s="24"/>
      <c r="C41" s="24"/>
      <c r="D41" s="24"/>
      <c r="E41" s="24"/>
      <c r="F41" s="24"/>
      <c r="G41" s="24"/>
      <c r="H41" s="22" t="s">
        <v>64</v>
      </c>
      <c r="I41" s="32">
        <f>B34*B33</f>
        <v>118800000</v>
      </c>
      <c r="J41" s="24" t="s">
        <v>60</v>
      </c>
      <c r="K41" s="24" t="s">
        <v>78</v>
      </c>
      <c r="L41" s="32"/>
      <c r="M41" s="45"/>
    </row>
    <row r="42" spans="1:13">
      <c r="A42" s="44"/>
      <c r="B42" s="24"/>
      <c r="C42" s="24"/>
      <c r="D42" s="24"/>
      <c r="E42" s="24"/>
      <c r="F42" s="24"/>
      <c r="G42" s="24"/>
      <c r="H42" s="22" t="s">
        <v>65</v>
      </c>
      <c r="I42" s="33">
        <f>B34/(B32*SQRT(3))</f>
        <v>3464.1016151377548</v>
      </c>
      <c r="J42" s="24" t="s">
        <v>68</v>
      </c>
      <c r="K42" s="24" t="s">
        <v>76</v>
      </c>
      <c r="L42" s="24"/>
      <c r="M42" s="45"/>
    </row>
    <row r="43" spans="1:13">
      <c r="A43" s="44"/>
      <c r="B43" s="24"/>
      <c r="C43" s="24"/>
      <c r="D43" s="24"/>
      <c r="E43" s="24"/>
      <c r="F43" s="24"/>
      <c r="G43" s="24"/>
      <c r="H43" s="22" t="s">
        <v>34</v>
      </c>
      <c r="I43" s="32">
        <f>B32*SQRT(2)</f>
        <v>28284.271247461904</v>
      </c>
      <c r="J43" s="24" t="s">
        <v>69</v>
      </c>
      <c r="K43" s="24" t="s">
        <v>74</v>
      </c>
      <c r="L43" s="24"/>
      <c r="M43" s="45"/>
    </row>
    <row r="44" spans="1:13">
      <c r="A44" s="44"/>
      <c r="B44" s="24"/>
      <c r="C44" s="24"/>
      <c r="D44" s="24"/>
      <c r="E44" s="24"/>
      <c r="F44" s="24"/>
      <c r="G44" s="24"/>
      <c r="H44" s="22" t="s">
        <v>35</v>
      </c>
      <c r="I44" s="33">
        <f>I42*SQRT(2)</f>
        <v>4898.9794855663567</v>
      </c>
      <c r="J44" s="24" t="s">
        <v>68</v>
      </c>
      <c r="K44" s="24" t="s">
        <v>75</v>
      </c>
      <c r="L44" s="24"/>
      <c r="M44" s="45"/>
    </row>
    <row r="45" spans="1:13">
      <c r="A45" s="44"/>
      <c r="B45" s="24"/>
      <c r="C45" s="24"/>
      <c r="D45" s="24"/>
      <c r="E45" s="24"/>
      <c r="F45" s="24"/>
      <c r="G45" s="24"/>
      <c r="H45" s="27" t="s">
        <v>42</v>
      </c>
      <c r="I45" s="64">
        <f>B34*(1-B33)/I42^2</f>
        <v>0.10000000000000007</v>
      </c>
      <c r="J45" s="24" t="s">
        <v>72</v>
      </c>
      <c r="K45" s="24" t="s">
        <v>71</v>
      </c>
      <c r="L45" s="34">
        <f>I45*I42*I42</f>
        <v>1200000.0000000009</v>
      </c>
      <c r="M45" s="45" t="s">
        <v>60</v>
      </c>
    </row>
    <row r="46" spans="1:13">
      <c r="A46" s="44"/>
      <c r="B46" s="24"/>
      <c r="C46" s="24"/>
      <c r="D46" s="24"/>
      <c r="E46" s="24"/>
      <c r="F46" s="24"/>
      <c r="G46" s="24"/>
      <c r="H46" s="27" t="s">
        <v>66</v>
      </c>
      <c r="I46" s="33">
        <f>I40/(I42*3)</f>
        <v>36.755259694786133</v>
      </c>
      <c r="J46" s="24" t="s">
        <v>70</v>
      </c>
      <c r="K46" s="24" t="s">
        <v>85</v>
      </c>
      <c r="L46" s="24"/>
      <c r="M46" s="45"/>
    </row>
    <row r="47" spans="1:13">
      <c r="A47" s="44"/>
      <c r="B47" s="24"/>
      <c r="C47" s="24"/>
      <c r="D47" s="24"/>
      <c r="E47" s="24"/>
      <c r="F47" s="24"/>
      <c r="G47" s="24"/>
      <c r="H47" s="22" t="s">
        <v>38</v>
      </c>
      <c r="I47" s="24">
        <f>B32^2/(B34)</f>
        <v>3.3333333333333335</v>
      </c>
      <c r="J47" s="24"/>
      <c r="K47" s="24" t="s">
        <v>90</v>
      </c>
      <c r="L47" s="34">
        <f>I47*I44*I44</f>
        <v>80000000.000000015</v>
      </c>
      <c r="M47" s="45" t="s">
        <v>60</v>
      </c>
    </row>
    <row r="48" spans="1:13">
      <c r="A48" s="44"/>
      <c r="B48" s="24"/>
      <c r="C48" s="24"/>
      <c r="D48" s="24"/>
      <c r="E48" s="24"/>
      <c r="F48" s="24"/>
      <c r="G48" s="24"/>
      <c r="H48" s="35"/>
      <c r="I48" s="15"/>
      <c r="J48" s="15"/>
      <c r="K48" s="15"/>
      <c r="L48" s="15"/>
      <c r="M48" s="73"/>
    </row>
    <row r="49" spans="1:13" ht="16" thickBot="1">
      <c r="A49" s="46"/>
      <c r="B49" s="74"/>
      <c r="C49" s="74"/>
      <c r="D49" s="74"/>
      <c r="E49" s="74"/>
      <c r="F49" s="74"/>
      <c r="G49" s="74"/>
      <c r="H49" s="75" t="s">
        <v>86</v>
      </c>
      <c r="I49" s="76"/>
      <c r="J49" s="74"/>
      <c r="K49" s="74"/>
      <c r="L49" s="74"/>
      <c r="M49" s="4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E33" sqref="E33"/>
    </sheetView>
  </sheetViews>
  <sheetFormatPr baseColWidth="10" defaultRowHeight="15" x14ac:dyDescent="0"/>
  <sheetData>
    <row r="1" spans="1:13">
      <c r="A1" t="s">
        <v>0</v>
      </c>
      <c r="B1">
        <v>15000</v>
      </c>
      <c r="C1" t="s">
        <v>3</v>
      </c>
    </row>
    <row r="2" spans="1:13">
      <c r="A2" t="s">
        <v>1</v>
      </c>
      <c r="B2">
        <v>60</v>
      </c>
      <c r="C2" t="s">
        <v>4</v>
      </c>
      <c r="M2" s="10"/>
    </row>
    <row r="3" spans="1:13">
      <c r="A3" t="s">
        <v>2</v>
      </c>
      <c r="B3">
        <f>B1*B2*B2/1000000</f>
        <v>54</v>
      </c>
      <c r="C3" t="s">
        <v>5</v>
      </c>
    </row>
    <row r="5" spans="1:13">
      <c r="A5" t="s">
        <v>6</v>
      </c>
      <c r="B5">
        <v>100000</v>
      </c>
    </row>
    <row r="6" spans="1:13">
      <c r="A6" t="s">
        <v>7</v>
      </c>
      <c r="B6">
        <v>2</v>
      </c>
    </row>
    <row r="7" spans="1:13">
      <c r="A7" t="s">
        <v>8</v>
      </c>
      <c r="B7">
        <f>B5*B6*B6/(2*1000000)</f>
        <v>0.2</v>
      </c>
      <c r="C7" t="s">
        <v>5</v>
      </c>
    </row>
    <row r="9" spans="1:13">
      <c r="A9" t="s">
        <v>9</v>
      </c>
      <c r="B9">
        <f>B3+B7</f>
        <v>54.2</v>
      </c>
      <c r="C9" t="s">
        <v>5</v>
      </c>
      <c r="L9" s="2"/>
    </row>
    <row r="10" spans="1:13">
      <c r="A10" t="s">
        <v>10</v>
      </c>
      <c r="B10">
        <f>2*PI()*B11</f>
        <v>1.2566370614359172</v>
      </c>
      <c r="C10" s="2" t="s">
        <v>13</v>
      </c>
    </row>
    <row r="11" spans="1:13">
      <c r="A11" t="s">
        <v>11</v>
      </c>
      <c r="B11" s="1">
        <f>12/60</f>
        <v>0.2</v>
      </c>
      <c r="C11" t="s">
        <v>12</v>
      </c>
    </row>
    <row r="12" spans="1:13">
      <c r="A12" t="s">
        <v>14</v>
      </c>
      <c r="B12">
        <f>B9*B10*B10/2</f>
        <v>42.794604683123453</v>
      </c>
      <c r="C12" t="s">
        <v>15</v>
      </c>
      <c r="D12" t="s">
        <v>16</v>
      </c>
      <c r="E12" t="s">
        <v>17</v>
      </c>
      <c r="F12">
        <f>B12/3</f>
        <v>14.264868227707817</v>
      </c>
      <c r="G12" t="s">
        <v>43</v>
      </c>
    </row>
    <row r="13" spans="1:13">
      <c r="B13">
        <f>B12*1000/3600</f>
        <v>11.887390189756516</v>
      </c>
      <c r="C13" t="s">
        <v>18</v>
      </c>
    </row>
    <row r="15" spans="1:13">
      <c r="A15" t="s">
        <v>28</v>
      </c>
      <c r="B15">
        <v>1.2</v>
      </c>
      <c r="C15" t="s">
        <v>29</v>
      </c>
    </row>
    <row r="16" spans="1:13">
      <c r="A16" t="s">
        <v>19</v>
      </c>
      <c r="B16">
        <v>10</v>
      </c>
      <c r="C16" t="s">
        <v>20</v>
      </c>
    </row>
    <row r="17" spans="1:5">
      <c r="A17" t="s">
        <v>21</v>
      </c>
      <c r="B17">
        <v>3</v>
      </c>
      <c r="C17" t="s">
        <v>20</v>
      </c>
    </row>
    <row r="18" spans="1:5">
      <c r="A18" t="s">
        <v>22</v>
      </c>
      <c r="B18">
        <v>22</v>
      </c>
      <c r="C18" t="s">
        <v>20</v>
      </c>
    </row>
    <row r="19" spans="1:5">
      <c r="A19" t="s">
        <v>23</v>
      </c>
      <c r="B19">
        <v>0.45</v>
      </c>
    </row>
    <row r="20" spans="1:5">
      <c r="A20" t="s">
        <v>24</v>
      </c>
      <c r="B20">
        <f>PI()*B2*B2</f>
        <v>11309.733552923255</v>
      </c>
      <c r="C20" t="s">
        <v>25</v>
      </c>
    </row>
    <row r="21" spans="1:5">
      <c r="A21" t="s">
        <v>26</v>
      </c>
      <c r="B21">
        <f>$B15*$B20*$B16*$B16*$B16/(2*1000000)</f>
        <v>6.7858401317539521</v>
      </c>
      <c r="C21" t="s">
        <v>30</v>
      </c>
      <c r="D21">
        <f>$B15*$B20*$B17*$B17*$B17/(2*1000000)</f>
        <v>0.18321768355735671</v>
      </c>
      <c r="E21">
        <f>$B15*$B20*$B18*$B18*$B18/(2*1000000)</f>
        <v>72.255625722916079</v>
      </c>
    </row>
    <row r="22" spans="1:5">
      <c r="A22" t="s">
        <v>27</v>
      </c>
      <c r="B22">
        <f>B21*$B$19</f>
        <v>3.0536280592892786</v>
      </c>
      <c r="C22" t="s">
        <v>30</v>
      </c>
      <c r="D22">
        <f>D21*$B$19</f>
        <v>8.2447957600810515E-2</v>
      </c>
      <c r="E22">
        <f>E21*$B$19</f>
        <v>32.515031575312236</v>
      </c>
    </row>
    <row r="24" spans="1:5">
      <c r="A24" t="s">
        <v>31</v>
      </c>
      <c r="B24">
        <f>B2*B10</f>
        <v>75.398223686155035</v>
      </c>
      <c r="C24" t="s">
        <v>20</v>
      </c>
      <c r="D24">
        <f>B24*3.6</f>
        <v>271.43360527015813</v>
      </c>
      <c r="E24" t="s">
        <v>32</v>
      </c>
    </row>
    <row r="26" spans="1:5">
      <c r="A26" t="s">
        <v>33</v>
      </c>
      <c r="B26">
        <v>12</v>
      </c>
    </row>
    <row r="27" spans="1:5">
      <c r="A27" t="s">
        <v>34</v>
      </c>
      <c r="B27">
        <v>1500</v>
      </c>
    </row>
    <row r="28" spans="1:5">
      <c r="A28" t="s">
        <v>35</v>
      </c>
      <c r="B28">
        <f>B29/(B27*B33)</f>
        <v>2020.2020202020201</v>
      </c>
    </row>
    <row r="29" spans="1:5">
      <c r="A29" t="s">
        <v>36</v>
      </c>
      <c r="B29">
        <v>3000000</v>
      </c>
    </row>
    <row r="30" spans="1:5">
      <c r="A30" t="s">
        <v>37</v>
      </c>
      <c r="B30">
        <v>0.1</v>
      </c>
    </row>
    <row r="31" spans="1:5">
      <c r="A31" t="s">
        <v>2</v>
      </c>
    </row>
    <row r="32" spans="1:5">
      <c r="A32" t="s">
        <v>38</v>
      </c>
      <c r="B32">
        <v>2</v>
      </c>
    </row>
    <row r="33" spans="1:2">
      <c r="A33" t="s">
        <v>41</v>
      </c>
      <c r="B33">
        <v>0.99</v>
      </c>
    </row>
    <row r="34" spans="1:2">
      <c r="A34" t="s">
        <v>39</v>
      </c>
      <c r="B34">
        <f>B29/(2*PI()*B26)</f>
        <v>39788.735772973836</v>
      </c>
    </row>
    <row r="35" spans="1:2">
      <c r="A35" t="s">
        <v>40</v>
      </c>
      <c r="B35">
        <f>B29/B28</f>
        <v>1485</v>
      </c>
    </row>
    <row r="36" spans="1:2">
      <c r="A36" t="s">
        <v>42</v>
      </c>
      <c r="B36">
        <f>(B27-B35)/B28</f>
        <v>7.4250000000000002E-3</v>
      </c>
    </row>
    <row r="37" spans="1:2">
      <c r="A37" t="s">
        <v>38</v>
      </c>
      <c r="B37">
        <f>B27/(B28*B33)</f>
        <v>0.75000000000000011</v>
      </c>
    </row>
    <row r="38" spans="1:2">
      <c r="A38" t="s">
        <v>44</v>
      </c>
      <c r="B38">
        <f>B27*B27/B37</f>
        <v>2999999.9999999995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workbookViewId="0">
      <selection activeCell="I18" sqref="I18"/>
    </sheetView>
  </sheetViews>
  <sheetFormatPr baseColWidth="10" defaultRowHeight="15" x14ac:dyDescent="0"/>
  <sheetData>
    <row r="1" spans="1:13">
      <c r="B1" t="s">
        <v>45</v>
      </c>
      <c r="E1" t="s">
        <v>28</v>
      </c>
      <c r="F1" s="9">
        <v>1.2</v>
      </c>
      <c r="G1" t="s">
        <v>49</v>
      </c>
      <c r="H1" t="s">
        <v>51</v>
      </c>
    </row>
    <row r="2" spans="1:13">
      <c r="B2" t="s">
        <v>46</v>
      </c>
      <c r="E2" t="s">
        <v>7</v>
      </c>
      <c r="F2" s="9">
        <v>60</v>
      </c>
      <c r="G2" t="s">
        <v>4</v>
      </c>
      <c r="H2" t="s">
        <v>50</v>
      </c>
    </row>
    <row r="3" spans="1:13">
      <c r="B3" t="s">
        <v>47</v>
      </c>
      <c r="E3" t="s">
        <v>23</v>
      </c>
      <c r="F3" s="9">
        <v>0.45</v>
      </c>
      <c r="H3" t="s">
        <v>52</v>
      </c>
    </row>
    <row r="4" spans="1:13">
      <c r="E4" t="s">
        <v>24</v>
      </c>
      <c r="F4" s="10">
        <f>PI()*F2*F2</f>
        <v>11309.733552923255</v>
      </c>
      <c r="G4" t="s">
        <v>53</v>
      </c>
    </row>
    <row r="7" spans="1:13">
      <c r="B7" s="3" t="s">
        <v>48</v>
      </c>
      <c r="C7" s="4"/>
      <c r="D7" s="4"/>
      <c r="E7" s="4"/>
      <c r="F7" s="4"/>
      <c r="G7" s="4"/>
      <c r="H7" s="4"/>
      <c r="I7" s="4"/>
      <c r="J7" s="4"/>
      <c r="K7" s="5"/>
    </row>
    <row r="8" spans="1:13">
      <c r="B8" s="6">
        <v>3</v>
      </c>
      <c r="C8" s="7">
        <v>4</v>
      </c>
      <c r="D8" s="7">
        <v>5</v>
      </c>
      <c r="E8" s="7">
        <v>6</v>
      </c>
      <c r="F8" s="7">
        <v>7</v>
      </c>
      <c r="G8" s="7">
        <v>8</v>
      </c>
      <c r="H8" s="7">
        <v>9</v>
      </c>
      <c r="I8" s="7">
        <v>10</v>
      </c>
      <c r="J8" s="7">
        <v>11</v>
      </c>
      <c r="K8" s="8">
        <v>12</v>
      </c>
    </row>
    <row r="9" spans="1:13">
      <c r="B9" s="11">
        <f>$F$4*$F$1*B8*B8*B8*$F$3/(2000)</f>
        <v>82.447957600810525</v>
      </c>
      <c r="C9" s="12">
        <f t="shared" ref="C9:K9" si="0">$F$4*$F$1*C8*C8*C8*$F$3/(2000)</f>
        <v>195.43219579451386</v>
      </c>
      <c r="D9" s="12">
        <f t="shared" si="0"/>
        <v>381.70350741115982</v>
      </c>
      <c r="E9" s="12">
        <f t="shared" si="0"/>
        <v>659.5836608064842</v>
      </c>
      <c r="F9" s="12">
        <f t="shared" si="0"/>
        <v>1047.3944243362225</v>
      </c>
      <c r="G9" s="12">
        <f t="shared" si="0"/>
        <v>1563.4575663561109</v>
      </c>
      <c r="H9" s="12">
        <f t="shared" si="0"/>
        <v>2226.0948552218842</v>
      </c>
      <c r="I9" s="12">
        <f t="shared" si="0"/>
        <v>3053.6280592892786</v>
      </c>
      <c r="J9" s="12">
        <f t="shared" si="0"/>
        <v>4064.3789469140297</v>
      </c>
      <c r="K9" s="13">
        <f t="shared" si="0"/>
        <v>5276.6692864518736</v>
      </c>
    </row>
    <row r="10" spans="1:13">
      <c r="B10" s="14" t="s">
        <v>54</v>
      </c>
      <c r="C10" s="15"/>
      <c r="D10" s="15"/>
      <c r="E10" s="15"/>
      <c r="F10" s="15"/>
      <c r="G10" s="15"/>
      <c r="H10" s="15"/>
      <c r="I10" s="15"/>
      <c r="J10" s="15"/>
      <c r="K10" s="16"/>
    </row>
    <row r="11" spans="1:13">
      <c r="A11" s="14" t="s">
        <v>55</v>
      </c>
      <c r="B11" s="14"/>
      <c r="L11" s="14" t="s">
        <v>56</v>
      </c>
      <c r="M11" s="14" t="s">
        <v>57</v>
      </c>
    </row>
    <row r="12" spans="1:13">
      <c r="A12" s="17">
        <v>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9">
        <f>A12/(2*PI())</f>
        <v>0</v>
      </c>
      <c r="M12" s="18">
        <f>A12/(2*PI())</f>
        <v>0</v>
      </c>
    </row>
    <row r="13" spans="1:13">
      <c r="A13" s="17">
        <v>0.1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>
        <f>60*A13/(2*PI())</f>
        <v>0.95492965855137202</v>
      </c>
      <c r="M13" s="18">
        <f t="shared" ref="M13:M69" si="1">A13/(2*PI())</f>
        <v>1.5915494309189534E-2</v>
      </c>
    </row>
    <row r="14" spans="1:13">
      <c r="A14" s="17">
        <v>0.2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>
        <f t="shared" ref="L14:L69" si="2">60*A14/(2*PI())</f>
        <v>1.909859317102744</v>
      </c>
      <c r="M14" s="18">
        <f t="shared" si="1"/>
        <v>3.1830988618379068E-2</v>
      </c>
    </row>
    <row r="15" spans="1:13">
      <c r="A15" s="17">
        <v>0.3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>
        <f t="shared" si="2"/>
        <v>2.8647889756541161</v>
      </c>
      <c r="M15" s="18">
        <f t="shared" si="1"/>
        <v>4.7746482927568598E-2</v>
      </c>
    </row>
    <row r="16" spans="1:13">
      <c r="A16" s="17">
        <v>0.4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>
        <f t="shared" si="2"/>
        <v>3.8197186342054881</v>
      </c>
      <c r="M16" s="18">
        <f t="shared" si="1"/>
        <v>6.3661977236758135E-2</v>
      </c>
    </row>
    <row r="17" spans="1:13">
      <c r="A17" s="17">
        <v>0.5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>
        <f t="shared" si="2"/>
        <v>4.7746482927568605</v>
      </c>
      <c r="M17" s="18">
        <f t="shared" si="1"/>
        <v>7.9577471545947673E-2</v>
      </c>
    </row>
    <row r="18" spans="1:13">
      <c r="A18" s="17">
        <v>0.6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>
        <f t="shared" si="2"/>
        <v>5.7295779513082321</v>
      </c>
      <c r="M18" s="18">
        <f t="shared" si="1"/>
        <v>9.5492965855137196E-2</v>
      </c>
    </row>
    <row r="19" spans="1:13">
      <c r="A19" s="17">
        <v>0.7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>
        <f t="shared" si="2"/>
        <v>6.6845076098596046</v>
      </c>
      <c r="M19" s="18">
        <f t="shared" si="1"/>
        <v>0.11140846016432673</v>
      </c>
    </row>
    <row r="20" spans="1:13">
      <c r="A20" s="17">
        <v>0.8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>
        <f t="shared" si="2"/>
        <v>7.6394372684109761</v>
      </c>
      <c r="M20" s="18">
        <f t="shared" si="1"/>
        <v>0.12732395447351627</v>
      </c>
    </row>
    <row r="21" spans="1:13">
      <c r="A21" s="17">
        <v>0.9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>
        <f t="shared" si="2"/>
        <v>8.5943669269623477</v>
      </c>
      <c r="M21" s="18">
        <f t="shared" si="1"/>
        <v>0.14323944878270581</v>
      </c>
    </row>
    <row r="22" spans="1:13">
      <c r="A22" s="17">
        <v>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>
        <f t="shared" si="2"/>
        <v>9.5492965855137211</v>
      </c>
      <c r="M22" s="18">
        <f t="shared" si="1"/>
        <v>0.15915494309189535</v>
      </c>
    </row>
    <row r="23" spans="1:13">
      <c r="A23" s="17">
        <v>1.1000000000000001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>
        <f t="shared" si="2"/>
        <v>10.504226244065093</v>
      </c>
      <c r="M23" s="18">
        <f t="shared" si="1"/>
        <v>0.17507043740108488</v>
      </c>
    </row>
    <row r="24" spans="1:13">
      <c r="A24" s="17">
        <v>1.2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>
        <f t="shared" si="2"/>
        <v>11.459155902616464</v>
      </c>
      <c r="M24" s="18">
        <f t="shared" si="1"/>
        <v>0.19098593171027439</v>
      </c>
    </row>
    <row r="25" spans="1:13">
      <c r="A25" s="17">
        <v>1.3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>
        <f t="shared" si="2"/>
        <v>12.414085561167836</v>
      </c>
      <c r="M25" s="18">
        <f t="shared" si="1"/>
        <v>0.20690142601946396</v>
      </c>
    </row>
    <row r="26" spans="1:13">
      <c r="A26" s="17">
        <v>1.4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>
        <f t="shared" si="2"/>
        <v>13.369015219719209</v>
      </c>
      <c r="M26" s="18">
        <f t="shared" si="1"/>
        <v>0.22281692032865347</v>
      </c>
    </row>
    <row r="27" spans="1:13">
      <c r="A27" s="17">
        <v>1.5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>
        <f t="shared" si="2"/>
        <v>14.323944878270581</v>
      </c>
      <c r="M27" s="18">
        <f t="shared" si="1"/>
        <v>0.238732414637843</v>
      </c>
    </row>
    <row r="28" spans="1:13">
      <c r="A28" s="17">
        <v>1.6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>
        <f t="shared" si="2"/>
        <v>15.278874536821952</v>
      </c>
      <c r="M28" s="18">
        <f t="shared" si="1"/>
        <v>0.25464790894703254</v>
      </c>
    </row>
    <row r="29" spans="1:13">
      <c r="A29" s="17">
        <v>1.7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>
        <f t="shared" si="2"/>
        <v>16.233804195373324</v>
      </c>
      <c r="M29" s="18">
        <f t="shared" si="1"/>
        <v>0.27056340325622208</v>
      </c>
    </row>
    <row r="30" spans="1:13">
      <c r="A30" s="17">
        <v>1.8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>
        <f t="shared" si="2"/>
        <v>17.188733853924695</v>
      </c>
      <c r="M30" s="18">
        <f t="shared" si="1"/>
        <v>0.28647889756541162</v>
      </c>
    </row>
    <row r="31" spans="1:13">
      <c r="A31" s="17">
        <v>1.9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>
        <f t="shared" si="2"/>
        <v>18.143663512476071</v>
      </c>
      <c r="M31" s="18">
        <f t="shared" si="1"/>
        <v>0.30239439187460115</v>
      </c>
    </row>
    <row r="32" spans="1:13">
      <c r="A32" s="17">
        <v>2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>
        <f t="shared" si="2"/>
        <v>19.098593171027442</v>
      </c>
      <c r="M32" s="18">
        <f t="shared" si="1"/>
        <v>0.31830988618379069</v>
      </c>
    </row>
    <row r="33" spans="1:13">
      <c r="A33" s="17">
        <v>2.1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>
        <f t="shared" si="2"/>
        <v>20.053522829578814</v>
      </c>
      <c r="M33" s="18">
        <f t="shared" si="1"/>
        <v>0.33422538049298023</v>
      </c>
    </row>
    <row r="34" spans="1:13">
      <c r="A34" s="17">
        <v>2.2000000000000002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>
        <f t="shared" si="2"/>
        <v>21.008452488130185</v>
      </c>
      <c r="M34" s="18">
        <f t="shared" si="1"/>
        <v>0.35014087480216977</v>
      </c>
    </row>
    <row r="35" spans="1:13">
      <c r="A35" s="17">
        <v>2.2999999999999998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>
        <f t="shared" si="2"/>
        <v>21.963382146681557</v>
      </c>
      <c r="M35" s="18">
        <f t="shared" si="1"/>
        <v>0.36605636911135925</v>
      </c>
    </row>
    <row r="36" spans="1:13">
      <c r="A36" s="17">
        <v>2.4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>
        <f t="shared" si="2"/>
        <v>22.918311805232928</v>
      </c>
      <c r="M36" s="18">
        <f t="shared" si="1"/>
        <v>0.38197186342054879</v>
      </c>
    </row>
    <row r="37" spans="1:13">
      <c r="A37" s="17">
        <v>2.5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>
        <f t="shared" si="2"/>
        <v>23.8732414637843</v>
      </c>
      <c r="M37" s="18">
        <f t="shared" si="1"/>
        <v>0.39788735772973838</v>
      </c>
    </row>
    <row r="38" spans="1:13">
      <c r="A38" s="17">
        <v>2.6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>
        <f t="shared" si="2"/>
        <v>24.828171122335672</v>
      </c>
      <c r="M38" s="18">
        <f t="shared" si="1"/>
        <v>0.41380285203892792</v>
      </c>
    </row>
    <row r="39" spans="1:13">
      <c r="A39" s="17">
        <v>2.7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>
        <f t="shared" si="2"/>
        <v>25.783100780887047</v>
      </c>
      <c r="M39" s="18">
        <f t="shared" si="1"/>
        <v>0.42971834634811745</v>
      </c>
    </row>
    <row r="40" spans="1:13">
      <c r="A40" s="17">
        <v>2.8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>
        <f t="shared" si="2"/>
        <v>26.738030439438418</v>
      </c>
      <c r="M40" s="18">
        <f t="shared" si="1"/>
        <v>0.44563384065730693</v>
      </c>
    </row>
    <row r="41" spans="1:13">
      <c r="A41" s="17">
        <v>2.9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>
        <f t="shared" si="2"/>
        <v>27.69296009798979</v>
      </c>
      <c r="M41" s="18">
        <f t="shared" si="1"/>
        <v>0.46154933496649647</v>
      </c>
    </row>
    <row r="42" spans="1:13">
      <c r="A42" s="17">
        <v>3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>
        <f t="shared" si="2"/>
        <v>28.647889756541161</v>
      </c>
      <c r="M42" s="18">
        <f t="shared" si="1"/>
        <v>0.47746482927568601</v>
      </c>
    </row>
    <row r="43" spans="1:13">
      <c r="A43" s="17">
        <v>3.1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>
        <f t="shared" si="2"/>
        <v>29.602819415092533</v>
      </c>
      <c r="M43" s="18">
        <f t="shared" si="1"/>
        <v>0.4933803235848756</v>
      </c>
    </row>
    <row r="44" spans="1:13">
      <c r="A44" s="17">
        <v>3.2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>
        <f t="shared" si="2"/>
        <v>30.557749073643905</v>
      </c>
      <c r="M44" s="18">
        <f t="shared" si="1"/>
        <v>0.50929581789406508</v>
      </c>
    </row>
    <row r="45" spans="1:13">
      <c r="A45" s="17">
        <v>3.3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>
        <f t="shared" si="2"/>
        <v>31.512678732195276</v>
      </c>
      <c r="M45" s="18">
        <f t="shared" si="1"/>
        <v>0.52521131220325457</v>
      </c>
    </row>
    <row r="46" spans="1:13">
      <c r="A46" s="17">
        <v>3.4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>
        <f t="shared" si="2"/>
        <v>32.467608390746648</v>
      </c>
      <c r="M46" s="18">
        <f t="shared" si="1"/>
        <v>0.54112680651244416</v>
      </c>
    </row>
    <row r="47" spans="1:13">
      <c r="A47" s="17">
        <v>3.5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>
        <f t="shared" si="2"/>
        <v>33.422538049298019</v>
      </c>
      <c r="M47" s="18">
        <f t="shared" si="1"/>
        <v>0.55704230082163375</v>
      </c>
    </row>
    <row r="48" spans="1:13">
      <c r="A48" s="17">
        <v>3.6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>
        <f t="shared" si="2"/>
        <v>34.377467707849391</v>
      </c>
      <c r="M48" s="18">
        <f t="shared" si="1"/>
        <v>0.57295779513082323</v>
      </c>
    </row>
    <row r="49" spans="1:13">
      <c r="A49" s="17">
        <v>3.7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>
        <f t="shared" si="2"/>
        <v>35.332397366400762</v>
      </c>
      <c r="M49" s="18">
        <f t="shared" si="1"/>
        <v>0.58887328944001283</v>
      </c>
    </row>
    <row r="50" spans="1:13">
      <c r="A50" s="17">
        <v>3.8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>
        <f t="shared" si="2"/>
        <v>36.287327024952141</v>
      </c>
      <c r="M50" s="18">
        <f t="shared" si="1"/>
        <v>0.60478878374920231</v>
      </c>
    </row>
    <row r="51" spans="1:13">
      <c r="A51" s="17">
        <v>3.9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>
        <f t="shared" si="2"/>
        <v>37.242256683503513</v>
      </c>
      <c r="M51" s="18">
        <f t="shared" si="1"/>
        <v>0.62070427805839179</v>
      </c>
    </row>
    <row r="52" spans="1:13">
      <c r="A52" s="17">
        <v>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>
        <f t="shared" si="2"/>
        <v>38.197186342054884</v>
      </c>
      <c r="M52" s="18">
        <f t="shared" si="1"/>
        <v>0.63661977236758138</v>
      </c>
    </row>
    <row r="53" spans="1:13">
      <c r="A53" s="17">
        <v>4.0999999999999996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>
        <f t="shared" si="2"/>
        <v>39.152116000606249</v>
      </c>
      <c r="M53" s="18">
        <f t="shared" si="1"/>
        <v>0.65253526667677086</v>
      </c>
    </row>
    <row r="54" spans="1:13">
      <c r="A54" s="17">
        <v>4.2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>
        <f t="shared" si="2"/>
        <v>40.107045659157627</v>
      </c>
      <c r="M54" s="18">
        <f t="shared" si="1"/>
        <v>0.66845076098596046</v>
      </c>
    </row>
    <row r="55" spans="1:13">
      <c r="A55" s="17">
        <v>4.3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>
        <f t="shared" si="2"/>
        <v>41.061975317708999</v>
      </c>
      <c r="M55" s="18">
        <f t="shared" si="1"/>
        <v>0.68436625529514994</v>
      </c>
    </row>
    <row r="56" spans="1:13">
      <c r="A56" s="17">
        <v>4.4000000000000004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>
        <f t="shared" si="2"/>
        <v>42.016904976260371</v>
      </c>
      <c r="M56" s="18">
        <f t="shared" si="1"/>
        <v>0.70028174960433953</v>
      </c>
    </row>
    <row r="57" spans="1:13">
      <c r="A57" s="17">
        <v>4.5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>
        <f t="shared" si="2"/>
        <v>42.971834634811742</v>
      </c>
      <c r="M57" s="18">
        <f t="shared" si="1"/>
        <v>0.71619724391352901</v>
      </c>
    </row>
    <row r="58" spans="1:13">
      <c r="A58" s="17">
        <v>4.5999999999999996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>
        <f t="shared" si="2"/>
        <v>43.926764293363114</v>
      </c>
      <c r="M58" s="18">
        <f t="shared" si="1"/>
        <v>0.7321127382227185</v>
      </c>
    </row>
    <row r="59" spans="1:13">
      <c r="A59" s="17">
        <v>4.7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>
        <f t="shared" si="2"/>
        <v>44.881693951914485</v>
      </c>
      <c r="M59" s="18">
        <f t="shared" si="1"/>
        <v>0.74802823253190809</v>
      </c>
    </row>
    <row r="60" spans="1:13">
      <c r="A60" s="17">
        <v>4.8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>
        <f t="shared" si="2"/>
        <v>45.836623610465857</v>
      </c>
      <c r="M60" s="18">
        <f t="shared" si="1"/>
        <v>0.76394372684109757</v>
      </c>
    </row>
    <row r="61" spans="1:13">
      <c r="A61" s="17">
        <v>4.9000000000000004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>
        <f t="shared" si="2"/>
        <v>46.791553269017228</v>
      </c>
      <c r="M61" s="18">
        <f t="shared" si="1"/>
        <v>0.77985922115028727</v>
      </c>
    </row>
    <row r="62" spans="1:13">
      <c r="A62" s="17">
        <v>5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>
        <f t="shared" si="2"/>
        <v>47.7464829275686</v>
      </c>
      <c r="M62" s="18">
        <f t="shared" si="1"/>
        <v>0.79577471545947676</v>
      </c>
    </row>
    <row r="63" spans="1:13">
      <c r="A63" s="17">
        <v>5.0999999999999996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>
        <f t="shared" si="2"/>
        <v>48.701412586119972</v>
      </c>
      <c r="M63" s="18">
        <f t="shared" si="1"/>
        <v>0.81169020976866624</v>
      </c>
    </row>
    <row r="64" spans="1:13">
      <c r="A64" s="17">
        <v>5.2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>
        <f t="shared" si="2"/>
        <v>49.656342244671343</v>
      </c>
      <c r="M64" s="18">
        <f t="shared" si="1"/>
        <v>0.82760570407785583</v>
      </c>
    </row>
    <row r="65" spans="1:13">
      <c r="A65" s="17">
        <v>5.3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>
        <f t="shared" si="2"/>
        <v>50.611271903222722</v>
      </c>
      <c r="M65" s="18">
        <f t="shared" si="1"/>
        <v>0.84352119838704531</v>
      </c>
    </row>
    <row r="66" spans="1:13">
      <c r="A66" s="17">
        <v>5.4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>
        <f t="shared" si="2"/>
        <v>51.566201561774093</v>
      </c>
      <c r="M66" s="18">
        <f t="shared" si="1"/>
        <v>0.85943669269623491</v>
      </c>
    </row>
    <row r="67" spans="1:13">
      <c r="A67" s="17">
        <v>5.5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>
        <f t="shared" si="2"/>
        <v>52.521131220325465</v>
      </c>
      <c r="M67" s="18">
        <f t="shared" si="1"/>
        <v>0.87535218700542439</v>
      </c>
    </row>
    <row r="68" spans="1:13">
      <c r="A68" s="17">
        <v>5.6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>
        <f t="shared" si="2"/>
        <v>53.476060878876837</v>
      </c>
      <c r="M68" s="18">
        <f t="shared" si="1"/>
        <v>0.89126768131461387</v>
      </c>
    </row>
    <row r="69" spans="1:13">
      <c r="A69" s="17">
        <v>5.7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>
        <f t="shared" si="2"/>
        <v>54.430990537428208</v>
      </c>
      <c r="M69" s="18">
        <f t="shared" si="1"/>
        <v>0.90718317562380346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workbookViewId="0">
      <selection activeCell="B8" sqref="B8"/>
    </sheetView>
  </sheetViews>
  <sheetFormatPr baseColWidth="10" defaultRowHeight="15" x14ac:dyDescent="0"/>
  <cols>
    <col min="4" max="4" width="24.33203125" customWidth="1"/>
    <col min="5" max="5" width="14.6640625" customWidth="1"/>
    <col min="6" max="7" width="13" customWidth="1"/>
    <col min="10" max="11" width="11.83203125" customWidth="1"/>
    <col min="12" max="12" width="12.1640625" bestFit="1" customWidth="1"/>
  </cols>
  <sheetData>
    <row r="1" spans="1:14">
      <c r="A1" t="s">
        <v>100</v>
      </c>
      <c r="D1" s="9" t="s">
        <v>151</v>
      </c>
      <c r="E1" t="s">
        <v>124</v>
      </c>
      <c r="G1" t="s">
        <v>101</v>
      </c>
      <c r="J1" t="s">
        <v>102</v>
      </c>
      <c r="K1" t="s">
        <v>125</v>
      </c>
    </row>
    <row r="2" spans="1:14">
      <c r="E2" t="s">
        <v>126</v>
      </c>
      <c r="G2" t="s">
        <v>104</v>
      </c>
      <c r="K2" t="s">
        <v>127</v>
      </c>
    </row>
    <row r="3" spans="1:14">
      <c r="A3" t="s">
        <v>128</v>
      </c>
      <c r="B3" s="9">
        <v>120</v>
      </c>
      <c r="C3" t="s">
        <v>30</v>
      </c>
      <c r="D3" t="s">
        <v>129</v>
      </c>
      <c r="E3" t="s">
        <v>130</v>
      </c>
      <c r="G3" t="s">
        <v>106</v>
      </c>
      <c r="K3" s="10"/>
    </row>
    <row r="4" spans="1:14">
      <c r="A4" t="s">
        <v>107</v>
      </c>
      <c r="B4" s="9">
        <v>50</v>
      </c>
      <c r="C4" t="s">
        <v>13</v>
      </c>
      <c r="D4" s="1" t="s">
        <v>131</v>
      </c>
      <c r="K4" t="s">
        <v>132</v>
      </c>
      <c r="L4">
        <f>1/(1+B10/B9)</f>
        <v>0.8</v>
      </c>
    </row>
    <row r="5" spans="1:14" ht="16" thickBot="1">
      <c r="A5" t="s">
        <v>108</v>
      </c>
      <c r="B5" s="10">
        <f>1000000*B3/(2*PI()*B4)</f>
        <v>381971.86342054879</v>
      </c>
      <c r="C5" t="s">
        <v>67</v>
      </c>
      <c r="D5" s="10" t="s">
        <v>133</v>
      </c>
      <c r="E5" s="10" t="s">
        <v>134</v>
      </c>
      <c r="F5" s="10"/>
      <c r="G5" s="55" t="s">
        <v>135</v>
      </c>
      <c r="H5" s="20"/>
      <c r="I5" s="20"/>
      <c r="K5" t="s">
        <v>136</v>
      </c>
      <c r="L5">
        <f>B8*B10*1000000</f>
        <v>50000</v>
      </c>
    </row>
    <row r="6" spans="1:14" ht="16" thickBot="1">
      <c r="A6" s="56" t="s">
        <v>109</v>
      </c>
      <c r="B6" s="57">
        <v>1000</v>
      </c>
      <c r="C6" t="s">
        <v>62</v>
      </c>
      <c r="D6" s="20" t="s">
        <v>137</v>
      </c>
      <c r="E6" s="20"/>
      <c r="F6" s="20"/>
      <c r="G6" s="20"/>
      <c r="K6" t="s">
        <v>112</v>
      </c>
      <c r="L6">
        <f>B10/(B6*B4*2*PI())</f>
        <v>1.5915494309189535E-6</v>
      </c>
    </row>
    <row r="7" spans="1:14">
      <c r="A7" t="s">
        <v>138</v>
      </c>
      <c r="B7" s="20">
        <f>B3*5</f>
        <v>600</v>
      </c>
      <c r="C7" t="s">
        <v>110</v>
      </c>
      <c r="D7" s="20" t="s">
        <v>139</v>
      </c>
      <c r="E7" s="20"/>
      <c r="F7" s="20"/>
      <c r="G7" s="20"/>
      <c r="K7" t="s">
        <v>114</v>
      </c>
      <c r="L7">
        <f>B5*B10/B6</f>
        <v>190.9859317102744</v>
      </c>
    </row>
    <row r="8" spans="1:14" ht="16" thickBot="1">
      <c r="A8" t="s">
        <v>140</v>
      </c>
      <c r="B8" s="9">
        <v>0.1</v>
      </c>
      <c r="C8" t="s">
        <v>141</v>
      </c>
      <c r="D8" s="20" t="s">
        <v>142</v>
      </c>
      <c r="E8" s="20"/>
      <c r="F8" s="20"/>
      <c r="G8" s="20"/>
    </row>
    <row r="9" spans="1:14" ht="16" thickBot="1">
      <c r="A9" t="s">
        <v>143</v>
      </c>
      <c r="B9" s="9">
        <v>2</v>
      </c>
      <c r="C9" t="s">
        <v>43</v>
      </c>
      <c r="D9" s="20" t="s">
        <v>144</v>
      </c>
      <c r="E9" s="20"/>
      <c r="F9" s="20"/>
      <c r="G9" s="20"/>
      <c r="J9" s="41" t="s">
        <v>103</v>
      </c>
      <c r="K9" s="42"/>
      <c r="L9" s="43"/>
    </row>
    <row r="10" spans="1:14" ht="16" thickBot="1">
      <c r="A10" s="58" t="s">
        <v>111</v>
      </c>
      <c r="B10" s="59">
        <v>0.5</v>
      </c>
      <c r="C10" s="60" t="s">
        <v>43</v>
      </c>
      <c r="D10" s="20" t="s">
        <v>145</v>
      </c>
      <c r="J10" s="46" t="s">
        <v>146</v>
      </c>
      <c r="K10" s="61">
        <v>0</v>
      </c>
      <c r="L10" s="62" t="s">
        <v>105</v>
      </c>
      <c r="M10">
        <v>6</v>
      </c>
    </row>
    <row r="11" spans="1:14">
      <c r="A11" t="s">
        <v>113</v>
      </c>
      <c r="B11" s="20">
        <f>B3*0.01</f>
        <v>1.2</v>
      </c>
      <c r="C11" t="s">
        <v>30</v>
      </c>
      <c r="D11" s="63" t="s">
        <v>147</v>
      </c>
    </row>
    <row r="13" spans="1:14">
      <c r="A13" s="17" t="s">
        <v>115</v>
      </c>
      <c r="B13" s="17" t="s">
        <v>148</v>
      </c>
      <c r="C13" s="17" t="s">
        <v>116</v>
      </c>
      <c r="D13" s="17" t="s">
        <v>149</v>
      </c>
      <c r="E13" s="17" t="s">
        <v>117</v>
      </c>
      <c r="F13" s="17" t="s">
        <v>118</v>
      </c>
      <c r="G13" s="48" t="s">
        <v>150</v>
      </c>
      <c r="H13" s="17" t="s">
        <v>119</v>
      </c>
      <c r="I13" s="17" t="s">
        <v>120</v>
      </c>
      <c r="J13" s="17" t="s">
        <v>121</v>
      </c>
      <c r="K13" s="17" t="s">
        <v>122</v>
      </c>
      <c r="L13" s="17" t="s">
        <v>123</v>
      </c>
      <c r="M13" s="17"/>
      <c r="N13" s="17"/>
    </row>
    <row r="14" spans="1:14">
      <c r="A14" s="49">
        <v>-1</v>
      </c>
      <c r="B14" s="49">
        <f>B7</f>
        <v>600</v>
      </c>
      <c r="C14" s="9"/>
      <c r="D14" s="49">
        <f>B3*1000000</f>
        <v>120000000</v>
      </c>
      <c r="E14" s="49"/>
      <c r="F14" s="49"/>
      <c r="G14" s="49">
        <f>D14/1000000</f>
        <v>120</v>
      </c>
      <c r="H14" s="49">
        <v>314.16000000000003</v>
      </c>
      <c r="I14" s="49">
        <v>0</v>
      </c>
      <c r="J14" s="50">
        <f>I14/(2*PI())</f>
        <v>0</v>
      </c>
      <c r="K14" s="17"/>
      <c r="L14" s="17"/>
    </row>
    <row r="15" spans="1:14">
      <c r="A15" s="19">
        <v>0</v>
      </c>
      <c r="B15" s="51">
        <f>$B$7+$K$10*J14</f>
        <v>600</v>
      </c>
      <c r="C15" s="19">
        <v>0</v>
      </c>
      <c r="D15" s="19">
        <f>$L$4*($L$5*B15+D14)</f>
        <v>120000000</v>
      </c>
      <c r="E15" s="19">
        <f>$L$6*D15</f>
        <v>190.98593171027443</v>
      </c>
      <c r="F15" s="19">
        <f>- $L$7-C15*$L$6</f>
        <v>-190.9859317102744</v>
      </c>
      <c r="G15" s="19">
        <f>D15/1000000</f>
        <v>120</v>
      </c>
      <c r="H15" s="18">
        <f>$L$6*D15 - $L$7 +H14 - C15*$B$10/(2*PI()*$B$4*$B$6)</f>
        <v>314.16000000000008</v>
      </c>
      <c r="I15" s="18">
        <f>H15/(2*PI())</f>
        <v>50.000116921749857</v>
      </c>
      <c r="J15" s="52">
        <f>$B$4-I15</f>
        <v>-1.169217498571129E-4</v>
      </c>
      <c r="K15" s="53">
        <f>C15/($B$3*1000000)</f>
        <v>0</v>
      </c>
      <c r="L15" s="53">
        <f>-J15/$B$4</f>
        <v>2.338434997142258E-6</v>
      </c>
      <c r="M15" s="54"/>
      <c r="N15" s="54"/>
    </row>
    <row r="16" spans="1:14">
      <c r="A16" s="19">
        <v>1</v>
      </c>
      <c r="B16" s="51">
        <f t="shared" ref="B16:B79" si="0">$B$7+$K$10*J15</f>
        <v>600</v>
      </c>
      <c r="C16" s="19">
        <v>0</v>
      </c>
      <c r="D16" s="19">
        <f>$L$4*($L$5*B16+D15)</f>
        <v>120000000</v>
      </c>
      <c r="E16" s="19">
        <f t="shared" ref="E16:E79" si="1">$L$6*D16</f>
        <v>190.98593171027443</v>
      </c>
      <c r="F16" s="19">
        <f>- $L$7-C16*$L$6</f>
        <v>-190.9859317102744</v>
      </c>
      <c r="G16" s="19">
        <f>D16/1000000</f>
        <v>120</v>
      </c>
      <c r="H16" s="18">
        <f t="shared" ref="H16:H79" si="2">$L$6*D16 - $L$7 +H15 - C16*$B$10/(2*PI()*$B$4*$B$6)</f>
        <v>314.16000000000008</v>
      </c>
      <c r="I16" s="18">
        <f t="shared" ref="I16:I79" si="3">H16/(2*PI())</f>
        <v>50.000116921749857</v>
      </c>
      <c r="J16" s="52">
        <f t="shared" ref="J16:J79" si="4">$B$4-I16</f>
        <v>-1.169217498571129E-4</v>
      </c>
      <c r="K16" s="53">
        <f t="shared" ref="K16:K79" si="5">C16/($B$3*1000000)</f>
        <v>0</v>
      </c>
      <c r="L16" s="53">
        <f t="shared" ref="L16:L79" si="6">-J16/$B$4</f>
        <v>2.338434997142258E-6</v>
      </c>
      <c r="M16" s="54"/>
      <c r="N16" s="54"/>
    </row>
    <row r="17" spans="1:14">
      <c r="A17" s="19">
        <v>2</v>
      </c>
      <c r="B17" s="51">
        <f t="shared" si="0"/>
        <v>600</v>
      </c>
      <c r="C17" s="19">
        <v>0</v>
      </c>
      <c r="D17" s="19">
        <f t="shared" ref="D17:D80" si="7">$L$4*($L$5*B17+D16)</f>
        <v>120000000</v>
      </c>
      <c r="E17" s="19">
        <f t="shared" si="1"/>
        <v>190.98593171027443</v>
      </c>
      <c r="F17" s="19">
        <f t="shared" ref="F17:F80" si="8">- $L$7-C17*$L$6</f>
        <v>-190.9859317102744</v>
      </c>
      <c r="G17" s="19">
        <f t="shared" ref="G17:G80" si="9">D17/1000000</f>
        <v>120</v>
      </c>
      <c r="H17" s="18">
        <f t="shared" si="2"/>
        <v>314.16000000000008</v>
      </c>
      <c r="I17" s="18">
        <f t="shared" si="3"/>
        <v>50.000116921749857</v>
      </c>
      <c r="J17" s="52">
        <f t="shared" si="4"/>
        <v>-1.169217498571129E-4</v>
      </c>
      <c r="K17" s="53">
        <f t="shared" si="5"/>
        <v>0</v>
      </c>
      <c r="L17" s="53">
        <f t="shared" si="6"/>
        <v>2.338434997142258E-6</v>
      </c>
      <c r="M17" s="54"/>
      <c r="N17" s="54"/>
    </row>
    <row r="18" spans="1:14">
      <c r="A18" s="19">
        <v>3</v>
      </c>
      <c r="B18" s="51">
        <f t="shared" si="0"/>
        <v>600</v>
      </c>
      <c r="C18" s="19">
        <v>0</v>
      </c>
      <c r="D18" s="19">
        <f t="shared" si="7"/>
        <v>120000000</v>
      </c>
      <c r="E18" s="19">
        <f t="shared" si="1"/>
        <v>190.98593171027443</v>
      </c>
      <c r="F18" s="19">
        <f t="shared" si="8"/>
        <v>-190.9859317102744</v>
      </c>
      <c r="G18" s="19">
        <f t="shared" si="9"/>
        <v>120</v>
      </c>
      <c r="H18" s="18">
        <f t="shared" si="2"/>
        <v>314.16000000000008</v>
      </c>
      <c r="I18" s="18">
        <f t="shared" si="3"/>
        <v>50.000116921749857</v>
      </c>
      <c r="J18" s="52">
        <f t="shared" si="4"/>
        <v>-1.169217498571129E-4</v>
      </c>
      <c r="K18" s="53">
        <f t="shared" si="5"/>
        <v>0</v>
      </c>
      <c r="L18" s="53">
        <f t="shared" si="6"/>
        <v>2.338434997142258E-6</v>
      </c>
      <c r="M18" s="54"/>
      <c r="N18" s="54"/>
    </row>
    <row r="19" spans="1:14">
      <c r="A19" s="19">
        <v>4</v>
      </c>
      <c r="B19" s="51">
        <f t="shared" si="0"/>
        <v>600</v>
      </c>
      <c r="C19" s="19">
        <v>0</v>
      </c>
      <c r="D19" s="19">
        <f t="shared" si="7"/>
        <v>120000000</v>
      </c>
      <c r="E19" s="19">
        <f t="shared" si="1"/>
        <v>190.98593171027443</v>
      </c>
      <c r="F19" s="19">
        <f t="shared" si="8"/>
        <v>-190.9859317102744</v>
      </c>
      <c r="G19" s="19">
        <f t="shared" si="9"/>
        <v>120</v>
      </c>
      <c r="H19" s="18">
        <f t="shared" si="2"/>
        <v>314.16000000000008</v>
      </c>
      <c r="I19" s="18">
        <f t="shared" si="3"/>
        <v>50.000116921749857</v>
      </c>
      <c r="J19" s="52">
        <f t="shared" si="4"/>
        <v>-1.169217498571129E-4</v>
      </c>
      <c r="K19" s="53">
        <f t="shared" si="5"/>
        <v>0</v>
      </c>
      <c r="L19" s="53">
        <f t="shared" si="6"/>
        <v>2.338434997142258E-6</v>
      </c>
      <c r="M19" s="54"/>
      <c r="N19" s="54"/>
    </row>
    <row r="20" spans="1:14">
      <c r="A20" s="19">
        <v>5</v>
      </c>
      <c r="B20" s="51">
        <f t="shared" si="0"/>
        <v>600</v>
      </c>
      <c r="C20" s="19">
        <v>0</v>
      </c>
      <c r="D20" s="19">
        <f t="shared" si="7"/>
        <v>120000000</v>
      </c>
      <c r="E20" s="19">
        <f t="shared" si="1"/>
        <v>190.98593171027443</v>
      </c>
      <c r="F20" s="19">
        <f t="shared" si="8"/>
        <v>-190.9859317102744</v>
      </c>
      <c r="G20" s="19">
        <f t="shared" si="9"/>
        <v>120</v>
      </c>
      <c r="H20" s="18">
        <f t="shared" si="2"/>
        <v>314.16000000000008</v>
      </c>
      <c r="I20" s="18">
        <f t="shared" si="3"/>
        <v>50.000116921749857</v>
      </c>
      <c r="J20" s="52">
        <f t="shared" si="4"/>
        <v>-1.169217498571129E-4</v>
      </c>
      <c r="K20" s="53">
        <f t="shared" si="5"/>
        <v>0</v>
      </c>
      <c r="L20" s="53">
        <f t="shared" si="6"/>
        <v>2.338434997142258E-6</v>
      </c>
      <c r="M20" s="54"/>
      <c r="N20" s="54"/>
    </row>
    <row r="21" spans="1:14">
      <c r="A21" s="19">
        <v>6</v>
      </c>
      <c r="B21" s="51">
        <f t="shared" si="0"/>
        <v>600</v>
      </c>
      <c r="C21" s="19">
        <v>0</v>
      </c>
      <c r="D21" s="19">
        <f t="shared" si="7"/>
        <v>120000000</v>
      </c>
      <c r="E21" s="19">
        <f t="shared" si="1"/>
        <v>190.98593171027443</v>
      </c>
      <c r="F21" s="19">
        <f t="shared" si="8"/>
        <v>-190.9859317102744</v>
      </c>
      <c r="G21" s="19">
        <f t="shared" si="9"/>
        <v>120</v>
      </c>
      <c r="H21" s="18">
        <f t="shared" si="2"/>
        <v>314.16000000000008</v>
      </c>
      <c r="I21" s="18">
        <f t="shared" si="3"/>
        <v>50.000116921749857</v>
      </c>
      <c r="J21" s="52">
        <f t="shared" si="4"/>
        <v>-1.169217498571129E-4</v>
      </c>
      <c r="K21" s="53">
        <f t="shared" si="5"/>
        <v>0</v>
      </c>
      <c r="L21" s="53">
        <f t="shared" si="6"/>
        <v>2.338434997142258E-6</v>
      </c>
      <c r="M21" s="54"/>
      <c r="N21" s="54"/>
    </row>
    <row r="22" spans="1:14">
      <c r="A22" s="19">
        <v>7</v>
      </c>
      <c r="B22" s="51">
        <f t="shared" si="0"/>
        <v>600</v>
      </c>
      <c r="C22" s="19">
        <v>0</v>
      </c>
      <c r="D22" s="19">
        <f t="shared" si="7"/>
        <v>120000000</v>
      </c>
      <c r="E22" s="19">
        <f t="shared" si="1"/>
        <v>190.98593171027443</v>
      </c>
      <c r="F22" s="19">
        <f t="shared" si="8"/>
        <v>-190.9859317102744</v>
      </c>
      <c r="G22" s="19">
        <f t="shared" si="9"/>
        <v>120</v>
      </c>
      <c r="H22" s="18">
        <f t="shared" si="2"/>
        <v>314.16000000000008</v>
      </c>
      <c r="I22" s="18">
        <f t="shared" si="3"/>
        <v>50.000116921749857</v>
      </c>
      <c r="J22" s="52">
        <f t="shared" si="4"/>
        <v>-1.169217498571129E-4</v>
      </c>
      <c r="K22" s="53">
        <f t="shared" si="5"/>
        <v>0</v>
      </c>
      <c r="L22" s="53">
        <f t="shared" si="6"/>
        <v>2.338434997142258E-6</v>
      </c>
      <c r="M22" s="54"/>
      <c r="N22" s="54"/>
    </row>
    <row r="23" spans="1:14">
      <c r="A23" s="19">
        <v>8</v>
      </c>
      <c r="B23" s="51">
        <f t="shared" si="0"/>
        <v>600</v>
      </c>
      <c r="C23" s="19">
        <v>0</v>
      </c>
      <c r="D23" s="19">
        <f t="shared" si="7"/>
        <v>120000000</v>
      </c>
      <c r="E23" s="19">
        <f t="shared" si="1"/>
        <v>190.98593171027443</v>
      </c>
      <c r="F23" s="19">
        <f t="shared" si="8"/>
        <v>-190.9859317102744</v>
      </c>
      <c r="G23" s="19">
        <f t="shared" si="9"/>
        <v>120</v>
      </c>
      <c r="H23" s="18">
        <f t="shared" si="2"/>
        <v>314.16000000000008</v>
      </c>
      <c r="I23" s="18">
        <f t="shared" si="3"/>
        <v>50.000116921749857</v>
      </c>
      <c r="J23" s="52">
        <f t="shared" si="4"/>
        <v>-1.169217498571129E-4</v>
      </c>
      <c r="K23" s="53">
        <f t="shared" si="5"/>
        <v>0</v>
      </c>
      <c r="L23" s="53">
        <f t="shared" si="6"/>
        <v>2.338434997142258E-6</v>
      </c>
      <c r="M23" s="54"/>
      <c r="N23" s="54"/>
    </row>
    <row r="24" spans="1:14">
      <c r="A24" s="19">
        <v>9</v>
      </c>
      <c r="B24" s="51">
        <f t="shared" si="0"/>
        <v>600</v>
      </c>
      <c r="C24" s="19">
        <v>0</v>
      </c>
      <c r="D24" s="19">
        <f t="shared" si="7"/>
        <v>120000000</v>
      </c>
      <c r="E24" s="19">
        <f t="shared" si="1"/>
        <v>190.98593171027443</v>
      </c>
      <c r="F24" s="19">
        <f t="shared" si="8"/>
        <v>-190.9859317102744</v>
      </c>
      <c r="G24" s="19">
        <f t="shared" si="9"/>
        <v>120</v>
      </c>
      <c r="H24" s="18">
        <f t="shared" si="2"/>
        <v>314.16000000000008</v>
      </c>
      <c r="I24" s="18">
        <f t="shared" si="3"/>
        <v>50.000116921749857</v>
      </c>
      <c r="J24" s="52">
        <f t="shared" si="4"/>
        <v>-1.169217498571129E-4</v>
      </c>
      <c r="K24" s="53">
        <f t="shared" si="5"/>
        <v>0</v>
      </c>
      <c r="L24" s="53">
        <f t="shared" si="6"/>
        <v>2.338434997142258E-6</v>
      </c>
      <c r="M24" s="54"/>
      <c r="N24" s="54"/>
    </row>
    <row r="25" spans="1:14">
      <c r="A25" s="19">
        <v>10</v>
      </c>
      <c r="B25" s="51">
        <f t="shared" si="0"/>
        <v>600</v>
      </c>
      <c r="C25" s="19">
        <v>0</v>
      </c>
      <c r="D25" s="19">
        <f t="shared" si="7"/>
        <v>120000000</v>
      </c>
      <c r="E25" s="19">
        <f t="shared" si="1"/>
        <v>190.98593171027443</v>
      </c>
      <c r="F25" s="19">
        <f t="shared" si="8"/>
        <v>-190.9859317102744</v>
      </c>
      <c r="G25" s="19">
        <f t="shared" si="9"/>
        <v>120</v>
      </c>
      <c r="H25" s="18">
        <f t="shared" si="2"/>
        <v>314.16000000000008</v>
      </c>
      <c r="I25" s="18">
        <f t="shared" si="3"/>
        <v>50.000116921749857</v>
      </c>
      <c r="J25" s="52">
        <f t="shared" si="4"/>
        <v>-1.169217498571129E-4</v>
      </c>
      <c r="K25" s="53">
        <f t="shared" si="5"/>
        <v>0</v>
      </c>
      <c r="L25" s="53">
        <f t="shared" si="6"/>
        <v>2.338434997142258E-6</v>
      </c>
      <c r="M25" s="54"/>
      <c r="N25" s="54"/>
    </row>
    <row r="26" spans="1:14">
      <c r="A26" s="19">
        <v>11</v>
      </c>
      <c r="B26" s="51">
        <f t="shared" si="0"/>
        <v>600</v>
      </c>
      <c r="C26" s="19">
        <v>0</v>
      </c>
      <c r="D26" s="19">
        <f t="shared" si="7"/>
        <v>120000000</v>
      </c>
      <c r="E26" s="19">
        <f t="shared" si="1"/>
        <v>190.98593171027443</v>
      </c>
      <c r="F26" s="19">
        <f t="shared" si="8"/>
        <v>-190.9859317102744</v>
      </c>
      <c r="G26" s="19">
        <f t="shared" si="9"/>
        <v>120</v>
      </c>
      <c r="H26" s="18">
        <f t="shared" si="2"/>
        <v>314.16000000000008</v>
      </c>
      <c r="I26" s="18">
        <f t="shared" si="3"/>
        <v>50.000116921749857</v>
      </c>
      <c r="J26" s="52">
        <f t="shared" si="4"/>
        <v>-1.169217498571129E-4</v>
      </c>
      <c r="K26" s="53">
        <f t="shared" si="5"/>
        <v>0</v>
      </c>
      <c r="L26" s="53">
        <f t="shared" si="6"/>
        <v>2.338434997142258E-6</v>
      </c>
      <c r="M26" s="54"/>
      <c r="N26" s="54"/>
    </row>
    <row r="27" spans="1:14">
      <c r="A27" s="19">
        <v>12</v>
      </c>
      <c r="B27" s="51">
        <f t="shared" si="0"/>
        <v>600</v>
      </c>
      <c r="C27" s="19">
        <v>0</v>
      </c>
      <c r="D27" s="19">
        <f t="shared" si="7"/>
        <v>120000000</v>
      </c>
      <c r="E27" s="19">
        <f t="shared" si="1"/>
        <v>190.98593171027443</v>
      </c>
      <c r="F27" s="19">
        <f t="shared" si="8"/>
        <v>-190.9859317102744</v>
      </c>
      <c r="G27" s="19">
        <f t="shared" si="9"/>
        <v>120</v>
      </c>
      <c r="H27" s="18">
        <f t="shared" si="2"/>
        <v>314.16000000000008</v>
      </c>
      <c r="I27" s="18">
        <f t="shared" si="3"/>
        <v>50.000116921749857</v>
      </c>
      <c r="J27" s="52">
        <f t="shared" si="4"/>
        <v>-1.169217498571129E-4</v>
      </c>
      <c r="K27" s="53">
        <f t="shared" si="5"/>
        <v>0</v>
      </c>
      <c r="L27" s="53">
        <f t="shared" si="6"/>
        <v>2.338434997142258E-6</v>
      </c>
      <c r="M27" s="54"/>
      <c r="N27" s="54"/>
    </row>
    <row r="28" spans="1:14">
      <c r="A28" s="19">
        <v>13</v>
      </c>
      <c r="B28" s="51">
        <f t="shared" si="0"/>
        <v>600</v>
      </c>
      <c r="C28" s="19">
        <v>0</v>
      </c>
      <c r="D28" s="19">
        <f t="shared" si="7"/>
        <v>120000000</v>
      </c>
      <c r="E28" s="19">
        <f t="shared" si="1"/>
        <v>190.98593171027443</v>
      </c>
      <c r="F28" s="19">
        <f t="shared" si="8"/>
        <v>-190.9859317102744</v>
      </c>
      <c r="G28" s="19">
        <f t="shared" si="9"/>
        <v>120</v>
      </c>
      <c r="H28" s="18">
        <f t="shared" si="2"/>
        <v>314.16000000000008</v>
      </c>
      <c r="I28" s="18">
        <f t="shared" si="3"/>
        <v>50.000116921749857</v>
      </c>
      <c r="J28" s="52">
        <f t="shared" si="4"/>
        <v>-1.169217498571129E-4</v>
      </c>
      <c r="K28" s="53">
        <f t="shared" si="5"/>
        <v>0</v>
      </c>
      <c r="L28" s="53">
        <f t="shared" si="6"/>
        <v>2.338434997142258E-6</v>
      </c>
      <c r="M28" s="54"/>
      <c r="N28" s="54"/>
    </row>
    <row r="29" spans="1:14">
      <c r="A29" s="19">
        <v>14</v>
      </c>
      <c r="B29" s="51">
        <f t="shared" si="0"/>
        <v>600</v>
      </c>
      <c r="C29" s="19">
        <v>0</v>
      </c>
      <c r="D29" s="19">
        <f t="shared" si="7"/>
        <v>120000000</v>
      </c>
      <c r="E29" s="19">
        <f t="shared" si="1"/>
        <v>190.98593171027443</v>
      </c>
      <c r="F29" s="19">
        <f t="shared" si="8"/>
        <v>-190.9859317102744</v>
      </c>
      <c r="G29" s="19">
        <f t="shared" si="9"/>
        <v>120</v>
      </c>
      <c r="H29" s="18">
        <f t="shared" si="2"/>
        <v>314.16000000000008</v>
      </c>
      <c r="I29" s="18">
        <f t="shared" si="3"/>
        <v>50.000116921749857</v>
      </c>
      <c r="J29" s="52">
        <f t="shared" si="4"/>
        <v>-1.169217498571129E-4</v>
      </c>
      <c r="K29" s="53">
        <f t="shared" si="5"/>
        <v>0</v>
      </c>
      <c r="L29" s="53">
        <f t="shared" si="6"/>
        <v>2.338434997142258E-6</v>
      </c>
      <c r="M29" s="54"/>
      <c r="N29" s="54"/>
    </row>
    <row r="30" spans="1:14">
      <c r="A30" s="19">
        <v>15</v>
      </c>
      <c r="B30" s="51">
        <f t="shared" si="0"/>
        <v>600</v>
      </c>
      <c r="C30" s="19">
        <v>0</v>
      </c>
      <c r="D30" s="19">
        <f t="shared" si="7"/>
        <v>120000000</v>
      </c>
      <c r="E30" s="19">
        <f t="shared" si="1"/>
        <v>190.98593171027443</v>
      </c>
      <c r="F30" s="19">
        <f t="shared" si="8"/>
        <v>-190.9859317102744</v>
      </c>
      <c r="G30" s="19">
        <f t="shared" si="9"/>
        <v>120</v>
      </c>
      <c r="H30" s="18">
        <f t="shared" si="2"/>
        <v>314.16000000000008</v>
      </c>
      <c r="I30" s="18">
        <f t="shared" si="3"/>
        <v>50.000116921749857</v>
      </c>
      <c r="J30" s="52">
        <f t="shared" si="4"/>
        <v>-1.169217498571129E-4</v>
      </c>
      <c r="K30" s="53">
        <f t="shared" si="5"/>
        <v>0</v>
      </c>
      <c r="L30" s="53">
        <f t="shared" si="6"/>
        <v>2.338434997142258E-6</v>
      </c>
      <c r="M30" s="54"/>
      <c r="N30" s="54"/>
    </row>
    <row r="31" spans="1:14">
      <c r="A31" s="19">
        <v>16</v>
      </c>
      <c r="B31" s="51">
        <f t="shared" si="0"/>
        <v>600</v>
      </c>
      <c r="C31" s="19">
        <v>0</v>
      </c>
      <c r="D31" s="19">
        <f t="shared" si="7"/>
        <v>120000000</v>
      </c>
      <c r="E31" s="19">
        <f t="shared" si="1"/>
        <v>190.98593171027443</v>
      </c>
      <c r="F31" s="19">
        <f t="shared" si="8"/>
        <v>-190.9859317102744</v>
      </c>
      <c r="G31" s="19">
        <f t="shared" si="9"/>
        <v>120</v>
      </c>
      <c r="H31" s="18">
        <f t="shared" si="2"/>
        <v>314.16000000000008</v>
      </c>
      <c r="I31" s="18">
        <f t="shared" si="3"/>
        <v>50.000116921749857</v>
      </c>
      <c r="J31" s="52">
        <f t="shared" si="4"/>
        <v>-1.169217498571129E-4</v>
      </c>
      <c r="K31" s="53">
        <f t="shared" si="5"/>
        <v>0</v>
      </c>
      <c r="L31" s="53">
        <f t="shared" si="6"/>
        <v>2.338434997142258E-6</v>
      </c>
      <c r="M31" s="54"/>
      <c r="N31" s="54"/>
    </row>
    <row r="32" spans="1:14">
      <c r="A32" s="19">
        <v>17</v>
      </c>
      <c r="B32" s="51">
        <f t="shared" si="0"/>
        <v>600</v>
      </c>
      <c r="C32" s="19">
        <v>0</v>
      </c>
      <c r="D32" s="19">
        <f t="shared" si="7"/>
        <v>120000000</v>
      </c>
      <c r="E32" s="19">
        <f t="shared" si="1"/>
        <v>190.98593171027443</v>
      </c>
      <c r="F32" s="19">
        <f t="shared" si="8"/>
        <v>-190.9859317102744</v>
      </c>
      <c r="G32" s="19">
        <f t="shared" si="9"/>
        <v>120</v>
      </c>
      <c r="H32" s="18">
        <f t="shared" si="2"/>
        <v>314.16000000000008</v>
      </c>
      <c r="I32" s="18">
        <f t="shared" si="3"/>
        <v>50.000116921749857</v>
      </c>
      <c r="J32" s="52">
        <f t="shared" si="4"/>
        <v>-1.169217498571129E-4</v>
      </c>
      <c r="K32" s="53">
        <f t="shared" si="5"/>
        <v>0</v>
      </c>
      <c r="L32" s="53">
        <f t="shared" si="6"/>
        <v>2.338434997142258E-6</v>
      </c>
      <c r="M32" s="54"/>
      <c r="N32" s="54"/>
    </row>
    <row r="33" spans="1:14">
      <c r="A33" s="19">
        <v>18</v>
      </c>
      <c r="B33" s="51">
        <f t="shared" si="0"/>
        <v>600</v>
      </c>
      <c r="C33" s="19">
        <v>0</v>
      </c>
      <c r="D33" s="19">
        <f t="shared" si="7"/>
        <v>120000000</v>
      </c>
      <c r="E33" s="19">
        <f t="shared" si="1"/>
        <v>190.98593171027443</v>
      </c>
      <c r="F33" s="19">
        <f t="shared" si="8"/>
        <v>-190.9859317102744</v>
      </c>
      <c r="G33" s="19">
        <f t="shared" si="9"/>
        <v>120</v>
      </c>
      <c r="H33" s="18">
        <f t="shared" si="2"/>
        <v>314.16000000000008</v>
      </c>
      <c r="I33" s="18">
        <f t="shared" si="3"/>
        <v>50.000116921749857</v>
      </c>
      <c r="J33" s="52">
        <f t="shared" si="4"/>
        <v>-1.169217498571129E-4</v>
      </c>
      <c r="K33" s="53">
        <f t="shared" si="5"/>
        <v>0</v>
      </c>
      <c r="L33" s="53">
        <f t="shared" si="6"/>
        <v>2.338434997142258E-6</v>
      </c>
      <c r="M33" s="54"/>
      <c r="N33" s="54"/>
    </row>
    <row r="34" spans="1:14">
      <c r="A34" s="19">
        <v>19</v>
      </c>
      <c r="B34" s="51">
        <f t="shared" si="0"/>
        <v>600</v>
      </c>
      <c r="C34" s="19">
        <v>0</v>
      </c>
      <c r="D34" s="19">
        <f t="shared" si="7"/>
        <v>120000000</v>
      </c>
      <c r="E34" s="19">
        <f t="shared" si="1"/>
        <v>190.98593171027443</v>
      </c>
      <c r="F34" s="19">
        <f t="shared" si="8"/>
        <v>-190.9859317102744</v>
      </c>
      <c r="G34" s="19">
        <f t="shared" si="9"/>
        <v>120</v>
      </c>
      <c r="H34" s="18">
        <f t="shared" si="2"/>
        <v>314.16000000000008</v>
      </c>
      <c r="I34" s="18">
        <f t="shared" si="3"/>
        <v>50.000116921749857</v>
      </c>
      <c r="J34" s="52">
        <f t="shared" si="4"/>
        <v>-1.169217498571129E-4</v>
      </c>
      <c r="K34" s="53">
        <f t="shared" si="5"/>
        <v>0</v>
      </c>
      <c r="L34" s="53">
        <f t="shared" si="6"/>
        <v>2.338434997142258E-6</v>
      </c>
      <c r="M34" s="54"/>
      <c r="N34" s="54"/>
    </row>
    <row r="35" spans="1:14">
      <c r="A35" s="19">
        <v>20</v>
      </c>
      <c r="B35" s="51">
        <f t="shared" si="0"/>
        <v>600</v>
      </c>
      <c r="C35" s="19">
        <v>0</v>
      </c>
      <c r="D35" s="19">
        <f t="shared" si="7"/>
        <v>120000000</v>
      </c>
      <c r="E35" s="19">
        <f t="shared" si="1"/>
        <v>190.98593171027443</v>
      </c>
      <c r="F35" s="19">
        <f t="shared" si="8"/>
        <v>-190.9859317102744</v>
      </c>
      <c r="G35" s="19">
        <f t="shared" si="9"/>
        <v>120</v>
      </c>
      <c r="H35" s="18">
        <f t="shared" si="2"/>
        <v>314.16000000000008</v>
      </c>
      <c r="I35" s="18">
        <f t="shared" si="3"/>
        <v>50.000116921749857</v>
      </c>
      <c r="J35" s="52">
        <f t="shared" si="4"/>
        <v>-1.169217498571129E-4</v>
      </c>
      <c r="K35" s="53">
        <f t="shared" si="5"/>
        <v>0</v>
      </c>
      <c r="L35" s="53">
        <f t="shared" si="6"/>
        <v>2.338434997142258E-6</v>
      </c>
      <c r="M35" s="54"/>
      <c r="N35" s="54"/>
    </row>
    <row r="36" spans="1:14">
      <c r="A36" s="19">
        <v>21</v>
      </c>
      <c r="B36" s="51">
        <f>$B$7+$K$10*J35</f>
        <v>600</v>
      </c>
      <c r="C36" s="19">
        <f>$B$11*1000000</f>
        <v>1200000</v>
      </c>
      <c r="D36" s="19">
        <f>$L$4*($L$5*B36+D35)</f>
        <v>120000000</v>
      </c>
      <c r="E36" s="19">
        <f>$L$6*D36</f>
        <v>190.98593171027443</v>
      </c>
      <c r="F36" s="19">
        <f>- $L$7-C36*$L$6</f>
        <v>-192.89579102737716</v>
      </c>
      <c r="G36" s="19">
        <f t="shared" si="9"/>
        <v>120</v>
      </c>
      <c r="H36" s="18">
        <f t="shared" si="2"/>
        <v>312.25014068289732</v>
      </c>
      <c r="I36" s="18">
        <f t="shared" si="3"/>
        <v>49.696153370822842</v>
      </c>
      <c r="J36" s="52">
        <f t="shared" si="4"/>
        <v>0.30384662917715843</v>
      </c>
      <c r="K36" s="53">
        <f t="shared" si="5"/>
        <v>0.01</v>
      </c>
      <c r="L36" s="53">
        <f>-J36/$B$4</f>
        <v>-6.0769325835431688E-3</v>
      </c>
      <c r="M36" s="54"/>
      <c r="N36" s="54"/>
    </row>
    <row r="37" spans="1:14">
      <c r="A37" s="19">
        <v>22</v>
      </c>
      <c r="B37" s="51">
        <f t="shared" si="0"/>
        <v>600</v>
      </c>
      <c r="C37" s="19">
        <f t="shared" ref="C37:C68" si="10">$B$11*1000000</f>
        <v>1200000</v>
      </c>
      <c r="D37" s="19">
        <f t="shared" si="7"/>
        <v>120000000</v>
      </c>
      <c r="E37" s="19">
        <f t="shared" si="1"/>
        <v>190.98593171027443</v>
      </c>
      <c r="F37" s="19">
        <f>- $L$7-C37*$L$6</f>
        <v>-192.89579102737716</v>
      </c>
      <c r="G37" s="19">
        <f t="shared" si="9"/>
        <v>120</v>
      </c>
      <c r="H37" s="18">
        <f>$L$6*D37 - $L$7 +H36 - C37*$B$10/(2*PI()*$B$4*$B$6)</f>
        <v>310.34028136579462</v>
      </c>
      <c r="I37" s="18">
        <f>H37/(2*PI())</f>
        <v>49.392189819895833</v>
      </c>
      <c r="J37" s="52">
        <f>$B$4-I37</f>
        <v>0.60781018010416688</v>
      </c>
      <c r="K37" s="53">
        <f>C37/($B$3*1000000)</f>
        <v>0.01</v>
      </c>
      <c r="L37" s="53">
        <f t="shared" si="6"/>
        <v>-1.2156203602083337E-2</v>
      </c>
      <c r="M37" s="54"/>
      <c r="N37" s="54"/>
    </row>
    <row r="38" spans="1:14">
      <c r="A38" s="19">
        <v>23</v>
      </c>
      <c r="B38" s="51">
        <f t="shared" si="0"/>
        <v>600</v>
      </c>
      <c r="C38" s="19">
        <f t="shared" si="10"/>
        <v>1200000</v>
      </c>
      <c r="D38" s="19">
        <f t="shared" si="7"/>
        <v>120000000</v>
      </c>
      <c r="E38" s="19">
        <f t="shared" si="1"/>
        <v>190.98593171027443</v>
      </c>
      <c r="F38" s="19">
        <f t="shared" si="8"/>
        <v>-192.89579102737716</v>
      </c>
      <c r="G38" s="19">
        <f t="shared" si="9"/>
        <v>120</v>
      </c>
      <c r="H38" s="18">
        <f t="shared" si="2"/>
        <v>308.43042204869192</v>
      </c>
      <c r="I38" s="18">
        <f t="shared" si="3"/>
        <v>49.088226268968825</v>
      </c>
      <c r="J38" s="52">
        <f t="shared" si="4"/>
        <v>0.91177373103117532</v>
      </c>
      <c r="K38" s="53">
        <f t="shared" si="5"/>
        <v>0.01</v>
      </c>
      <c r="L38" s="53">
        <f t="shared" si="6"/>
        <v>-1.8235474620623505E-2</v>
      </c>
      <c r="M38" s="54"/>
      <c r="N38" s="54"/>
    </row>
    <row r="39" spans="1:14">
      <c r="A39" s="19">
        <v>24</v>
      </c>
      <c r="B39" s="51">
        <f t="shared" si="0"/>
        <v>600</v>
      </c>
      <c r="C39" s="19">
        <f t="shared" si="10"/>
        <v>1200000</v>
      </c>
      <c r="D39" s="19">
        <f t="shared" si="7"/>
        <v>120000000</v>
      </c>
      <c r="E39" s="19">
        <f t="shared" si="1"/>
        <v>190.98593171027443</v>
      </c>
      <c r="F39" s="19">
        <f t="shared" si="8"/>
        <v>-192.89579102737716</v>
      </c>
      <c r="G39" s="19">
        <f t="shared" si="9"/>
        <v>120</v>
      </c>
      <c r="H39" s="18">
        <f t="shared" si="2"/>
        <v>306.52056273158922</v>
      </c>
      <c r="I39" s="18">
        <f t="shared" si="3"/>
        <v>48.784262718041816</v>
      </c>
      <c r="J39" s="52">
        <f t="shared" si="4"/>
        <v>1.2157372819581838</v>
      </c>
      <c r="K39" s="53">
        <f t="shared" si="5"/>
        <v>0.01</v>
      </c>
      <c r="L39" s="53">
        <f t="shared" si="6"/>
        <v>-2.4314745639163676E-2</v>
      </c>
      <c r="M39" s="54"/>
      <c r="N39" s="54"/>
    </row>
    <row r="40" spans="1:14">
      <c r="A40" s="19">
        <v>25</v>
      </c>
      <c r="B40" s="51">
        <f t="shared" si="0"/>
        <v>600</v>
      </c>
      <c r="C40" s="19">
        <f t="shared" si="10"/>
        <v>1200000</v>
      </c>
      <c r="D40" s="19">
        <f t="shared" si="7"/>
        <v>120000000</v>
      </c>
      <c r="E40" s="19">
        <f t="shared" si="1"/>
        <v>190.98593171027443</v>
      </c>
      <c r="F40" s="19">
        <f t="shared" si="8"/>
        <v>-192.89579102737716</v>
      </c>
      <c r="G40" s="19">
        <f t="shared" si="9"/>
        <v>120</v>
      </c>
      <c r="H40" s="18">
        <f t="shared" si="2"/>
        <v>304.61070341448652</v>
      </c>
      <c r="I40" s="18">
        <f t="shared" si="3"/>
        <v>48.480299167114815</v>
      </c>
      <c r="J40" s="52">
        <f t="shared" si="4"/>
        <v>1.5197008328851851</v>
      </c>
      <c r="K40" s="53">
        <f t="shared" si="5"/>
        <v>0.01</v>
      </c>
      <c r="L40" s="53">
        <f t="shared" si="6"/>
        <v>-3.0394016657703703E-2</v>
      </c>
      <c r="M40" s="54"/>
      <c r="N40" s="54"/>
    </row>
    <row r="41" spans="1:14">
      <c r="A41" s="19">
        <v>26</v>
      </c>
      <c r="B41" s="51">
        <f t="shared" si="0"/>
        <v>600</v>
      </c>
      <c r="C41" s="19">
        <f t="shared" si="10"/>
        <v>1200000</v>
      </c>
      <c r="D41" s="19">
        <f t="shared" si="7"/>
        <v>120000000</v>
      </c>
      <c r="E41" s="19">
        <f t="shared" si="1"/>
        <v>190.98593171027443</v>
      </c>
      <c r="F41" s="19">
        <f t="shared" si="8"/>
        <v>-192.89579102737716</v>
      </c>
      <c r="G41" s="19">
        <f t="shared" si="9"/>
        <v>120</v>
      </c>
      <c r="H41" s="18">
        <f>$L$6*D41 - $L$7 +H40 - C41*$B$10/(2*PI()*$B$4*$B$6)</f>
        <v>302.70084409738382</v>
      </c>
      <c r="I41" s="18">
        <f t="shared" si="3"/>
        <v>48.176335616187806</v>
      </c>
      <c r="J41" s="52">
        <f t="shared" si="4"/>
        <v>1.8236643838121935</v>
      </c>
      <c r="K41" s="53">
        <f t="shared" si="5"/>
        <v>0.01</v>
      </c>
      <c r="L41" s="53">
        <f t="shared" si="6"/>
        <v>-3.6473287676243873E-2</v>
      </c>
      <c r="M41" s="54"/>
      <c r="N41" s="54"/>
    </row>
    <row r="42" spans="1:14">
      <c r="A42" s="19">
        <v>27</v>
      </c>
      <c r="B42" s="51">
        <f t="shared" si="0"/>
        <v>600</v>
      </c>
      <c r="C42" s="19">
        <f t="shared" si="10"/>
        <v>1200000</v>
      </c>
      <c r="D42" s="19">
        <f t="shared" si="7"/>
        <v>120000000</v>
      </c>
      <c r="E42" s="19">
        <f t="shared" si="1"/>
        <v>190.98593171027443</v>
      </c>
      <c r="F42" s="19">
        <f t="shared" si="8"/>
        <v>-192.89579102737716</v>
      </c>
      <c r="G42" s="19">
        <f t="shared" si="9"/>
        <v>120</v>
      </c>
      <c r="H42" s="18">
        <f t="shared" si="2"/>
        <v>300.79098478028112</v>
      </c>
      <c r="I42" s="18">
        <f t="shared" si="3"/>
        <v>47.872372065260798</v>
      </c>
      <c r="J42" s="52">
        <f t="shared" si="4"/>
        <v>2.127627934739202</v>
      </c>
      <c r="K42" s="53">
        <f t="shared" si="5"/>
        <v>0.01</v>
      </c>
      <c r="L42" s="53">
        <f t="shared" si="6"/>
        <v>-4.255255869478404E-2</v>
      </c>
      <c r="M42" s="54"/>
      <c r="N42" s="54"/>
    </row>
    <row r="43" spans="1:14">
      <c r="A43" s="19">
        <v>28</v>
      </c>
      <c r="B43" s="51">
        <f t="shared" si="0"/>
        <v>600</v>
      </c>
      <c r="C43" s="19">
        <f t="shared" si="10"/>
        <v>1200000</v>
      </c>
      <c r="D43" s="19">
        <f t="shared" si="7"/>
        <v>120000000</v>
      </c>
      <c r="E43" s="19">
        <f t="shared" si="1"/>
        <v>190.98593171027443</v>
      </c>
      <c r="F43" s="19">
        <f t="shared" si="8"/>
        <v>-192.89579102737716</v>
      </c>
      <c r="G43" s="19">
        <f t="shared" si="9"/>
        <v>120</v>
      </c>
      <c r="H43" s="18">
        <f t="shared" si="2"/>
        <v>298.88112546317842</v>
      </c>
      <c r="I43" s="18">
        <f t="shared" si="3"/>
        <v>47.568408514333797</v>
      </c>
      <c r="J43" s="52">
        <f t="shared" si="4"/>
        <v>2.4315914856662033</v>
      </c>
      <c r="K43" s="53">
        <f t="shared" si="5"/>
        <v>0.01</v>
      </c>
      <c r="L43" s="53">
        <f t="shared" si="6"/>
        <v>-4.8631829713324068E-2</v>
      </c>
      <c r="M43" s="54"/>
      <c r="N43" s="54"/>
    </row>
    <row r="44" spans="1:14">
      <c r="A44" s="19">
        <v>29</v>
      </c>
      <c r="B44" s="51">
        <f t="shared" si="0"/>
        <v>600</v>
      </c>
      <c r="C44" s="19">
        <f t="shared" si="10"/>
        <v>1200000</v>
      </c>
      <c r="D44" s="19">
        <f t="shared" si="7"/>
        <v>120000000</v>
      </c>
      <c r="E44" s="19">
        <f t="shared" si="1"/>
        <v>190.98593171027443</v>
      </c>
      <c r="F44" s="19">
        <f t="shared" si="8"/>
        <v>-192.89579102737716</v>
      </c>
      <c r="G44" s="19">
        <f t="shared" si="9"/>
        <v>120</v>
      </c>
      <c r="H44" s="18">
        <f t="shared" si="2"/>
        <v>296.97126614607572</v>
      </c>
      <c r="I44" s="18">
        <f t="shared" si="3"/>
        <v>47.264444963406788</v>
      </c>
      <c r="J44" s="52">
        <f t="shared" si="4"/>
        <v>2.7355550365932118</v>
      </c>
      <c r="K44" s="53">
        <f t="shared" si="5"/>
        <v>0.01</v>
      </c>
      <c r="L44" s="53">
        <f t="shared" si="6"/>
        <v>-5.4711100731864235E-2</v>
      </c>
      <c r="M44" s="54"/>
      <c r="N44" s="54"/>
    </row>
    <row r="45" spans="1:14">
      <c r="A45" s="19">
        <v>30</v>
      </c>
      <c r="B45" s="51">
        <f t="shared" si="0"/>
        <v>600</v>
      </c>
      <c r="C45" s="19">
        <f t="shared" si="10"/>
        <v>1200000</v>
      </c>
      <c r="D45" s="19">
        <f t="shared" si="7"/>
        <v>120000000</v>
      </c>
      <c r="E45" s="19">
        <f t="shared" si="1"/>
        <v>190.98593171027443</v>
      </c>
      <c r="F45" s="19">
        <f t="shared" si="8"/>
        <v>-192.89579102737716</v>
      </c>
      <c r="G45" s="19">
        <f t="shared" si="9"/>
        <v>120</v>
      </c>
      <c r="H45" s="18">
        <f t="shared" si="2"/>
        <v>295.06140682897302</v>
      </c>
      <c r="I45" s="18">
        <f t="shared" si="3"/>
        <v>46.96048141247978</v>
      </c>
      <c r="J45" s="52">
        <f t="shared" si="4"/>
        <v>3.0395185875202202</v>
      </c>
      <c r="K45" s="53">
        <f t="shared" si="5"/>
        <v>0.01</v>
      </c>
      <c r="L45" s="53">
        <f t="shared" si="6"/>
        <v>-6.0790371750404401E-2</v>
      </c>
      <c r="M45" s="54"/>
      <c r="N45" s="54"/>
    </row>
    <row r="46" spans="1:14">
      <c r="A46" s="19">
        <v>31</v>
      </c>
      <c r="B46" s="51">
        <f t="shared" si="0"/>
        <v>600</v>
      </c>
      <c r="C46" s="19">
        <f t="shared" si="10"/>
        <v>1200000</v>
      </c>
      <c r="D46" s="19">
        <f t="shared" si="7"/>
        <v>120000000</v>
      </c>
      <c r="E46" s="19">
        <f t="shared" si="1"/>
        <v>190.98593171027443</v>
      </c>
      <c r="F46" s="19">
        <f t="shared" si="8"/>
        <v>-192.89579102737716</v>
      </c>
      <c r="G46" s="19">
        <f t="shared" si="9"/>
        <v>120</v>
      </c>
      <c r="H46" s="18">
        <f t="shared" si="2"/>
        <v>293.15154751187032</v>
      </c>
      <c r="I46" s="18">
        <f t="shared" si="3"/>
        <v>46.656517861552771</v>
      </c>
      <c r="J46" s="52">
        <f t="shared" si="4"/>
        <v>3.3434821384472286</v>
      </c>
      <c r="K46" s="53">
        <f t="shared" si="5"/>
        <v>0.01</v>
      </c>
      <c r="L46" s="53">
        <f t="shared" si="6"/>
        <v>-6.6869642768944568E-2</v>
      </c>
      <c r="M46" s="54"/>
      <c r="N46" s="54"/>
    </row>
    <row r="47" spans="1:14">
      <c r="A47" s="19">
        <v>32</v>
      </c>
      <c r="B47" s="51">
        <f t="shared" si="0"/>
        <v>600</v>
      </c>
      <c r="C47" s="19">
        <f t="shared" si="10"/>
        <v>1200000</v>
      </c>
      <c r="D47" s="19">
        <f t="shared" si="7"/>
        <v>120000000</v>
      </c>
      <c r="E47" s="19">
        <f t="shared" si="1"/>
        <v>190.98593171027443</v>
      </c>
      <c r="F47" s="19">
        <f t="shared" si="8"/>
        <v>-192.89579102737716</v>
      </c>
      <c r="G47" s="19">
        <f t="shared" si="9"/>
        <v>120</v>
      </c>
      <c r="H47" s="18">
        <f t="shared" si="2"/>
        <v>291.24168819476762</v>
      </c>
      <c r="I47" s="18">
        <f t="shared" si="3"/>
        <v>46.35255431062577</v>
      </c>
      <c r="J47" s="52">
        <f t="shared" si="4"/>
        <v>3.64744568937423</v>
      </c>
      <c r="K47" s="53">
        <f t="shared" si="5"/>
        <v>0.01</v>
      </c>
      <c r="L47" s="53">
        <f t="shared" si="6"/>
        <v>-7.2948913787484596E-2</v>
      </c>
      <c r="M47" s="54"/>
      <c r="N47" s="54"/>
    </row>
    <row r="48" spans="1:14">
      <c r="A48" s="19">
        <v>33</v>
      </c>
      <c r="B48" s="51">
        <f t="shared" si="0"/>
        <v>600</v>
      </c>
      <c r="C48" s="19">
        <f t="shared" si="10"/>
        <v>1200000</v>
      </c>
      <c r="D48" s="19">
        <f t="shared" si="7"/>
        <v>120000000</v>
      </c>
      <c r="E48" s="19">
        <f t="shared" si="1"/>
        <v>190.98593171027443</v>
      </c>
      <c r="F48" s="19">
        <f t="shared" si="8"/>
        <v>-192.89579102737716</v>
      </c>
      <c r="G48" s="19">
        <f t="shared" si="9"/>
        <v>120</v>
      </c>
      <c r="H48" s="18">
        <f t="shared" si="2"/>
        <v>289.33182887766492</v>
      </c>
      <c r="I48" s="18">
        <f t="shared" si="3"/>
        <v>46.048590759698762</v>
      </c>
      <c r="J48" s="52">
        <f t="shared" si="4"/>
        <v>3.9514092403012384</v>
      </c>
      <c r="K48" s="53">
        <f t="shared" si="5"/>
        <v>0.01</v>
      </c>
      <c r="L48" s="53">
        <f t="shared" si="6"/>
        <v>-7.9028184806024762E-2</v>
      </c>
      <c r="M48" s="54"/>
      <c r="N48" s="54"/>
    </row>
    <row r="49" spans="1:14">
      <c r="A49" s="19">
        <v>34</v>
      </c>
      <c r="B49" s="51">
        <f t="shared" si="0"/>
        <v>600</v>
      </c>
      <c r="C49" s="19">
        <f t="shared" si="10"/>
        <v>1200000</v>
      </c>
      <c r="D49" s="19">
        <f t="shared" si="7"/>
        <v>120000000</v>
      </c>
      <c r="E49" s="19">
        <f t="shared" si="1"/>
        <v>190.98593171027443</v>
      </c>
      <c r="F49" s="19">
        <f t="shared" si="8"/>
        <v>-192.89579102737716</v>
      </c>
      <c r="G49" s="19">
        <f t="shared" si="9"/>
        <v>120</v>
      </c>
      <c r="H49" s="18">
        <f t="shared" si="2"/>
        <v>287.42196956056222</v>
      </c>
      <c r="I49" s="18">
        <f t="shared" si="3"/>
        <v>45.744627208771753</v>
      </c>
      <c r="J49" s="52">
        <f t="shared" si="4"/>
        <v>4.2553727912282469</v>
      </c>
      <c r="K49" s="53">
        <f t="shared" si="5"/>
        <v>0.01</v>
      </c>
      <c r="L49" s="53">
        <f t="shared" si="6"/>
        <v>-8.5107455824564943E-2</v>
      </c>
      <c r="M49" s="54"/>
      <c r="N49" s="54"/>
    </row>
    <row r="50" spans="1:14">
      <c r="A50" s="19">
        <v>35</v>
      </c>
      <c r="B50" s="51">
        <f t="shared" si="0"/>
        <v>600</v>
      </c>
      <c r="C50" s="19">
        <f t="shared" si="10"/>
        <v>1200000</v>
      </c>
      <c r="D50" s="19">
        <f t="shared" si="7"/>
        <v>120000000</v>
      </c>
      <c r="E50" s="19">
        <f t="shared" si="1"/>
        <v>190.98593171027443</v>
      </c>
      <c r="F50" s="19">
        <f t="shared" si="8"/>
        <v>-192.89579102737716</v>
      </c>
      <c r="G50" s="19">
        <f t="shared" si="9"/>
        <v>120</v>
      </c>
      <c r="H50" s="18">
        <f t="shared" si="2"/>
        <v>285.51211024345952</v>
      </c>
      <c r="I50" s="18">
        <f t="shared" si="3"/>
        <v>45.440663657844752</v>
      </c>
      <c r="J50" s="52">
        <f t="shared" si="4"/>
        <v>4.5593363421552482</v>
      </c>
      <c r="K50" s="53">
        <f t="shared" si="5"/>
        <v>0.01</v>
      </c>
      <c r="L50" s="53">
        <f t="shared" si="6"/>
        <v>-9.118672684310497E-2</v>
      </c>
      <c r="M50" s="54"/>
      <c r="N50" s="54"/>
    </row>
    <row r="51" spans="1:14">
      <c r="A51" s="19">
        <v>36</v>
      </c>
      <c r="B51" s="51">
        <f t="shared" si="0"/>
        <v>600</v>
      </c>
      <c r="C51" s="19">
        <f t="shared" si="10"/>
        <v>1200000</v>
      </c>
      <c r="D51" s="19">
        <f t="shared" si="7"/>
        <v>120000000</v>
      </c>
      <c r="E51" s="19">
        <f t="shared" si="1"/>
        <v>190.98593171027443</v>
      </c>
      <c r="F51" s="19">
        <f t="shared" si="8"/>
        <v>-192.89579102737716</v>
      </c>
      <c r="G51" s="19">
        <f t="shared" si="9"/>
        <v>120</v>
      </c>
      <c r="H51" s="18">
        <f t="shared" si="2"/>
        <v>283.60225092635682</v>
      </c>
      <c r="I51" s="18">
        <f t="shared" si="3"/>
        <v>45.136700106917743</v>
      </c>
      <c r="J51" s="52">
        <f t="shared" si="4"/>
        <v>4.8632998930822566</v>
      </c>
      <c r="K51" s="53">
        <f t="shared" si="5"/>
        <v>0.01</v>
      </c>
      <c r="L51" s="53">
        <f t="shared" si="6"/>
        <v>-9.7265997861645137E-2</v>
      </c>
      <c r="M51" s="54"/>
      <c r="N51" s="54"/>
    </row>
    <row r="52" spans="1:14">
      <c r="A52" s="19">
        <v>37</v>
      </c>
      <c r="B52" s="51">
        <f t="shared" si="0"/>
        <v>600</v>
      </c>
      <c r="C52" s="19">
        <f t="shared" si="10"/>
        <v>1200000</v>
      </c>
      <c r="D52" s="19">
        <f t="shared" si="7"/>
        <v>120000000</v>
      </c>
      <c r="E52" s="19">
        <f t="shared" si="1"/>
        <v>190.98593171027443</v>
      </c>
      <c r="F52" s="19">
        <f t="shared" si="8"/>
        <v>-192.89579102737716</v>
      </c>
      <c r="G52" s="19">
        <f t="shared" si="9"/>
        <v>120</v>
      </c>
      <c r="H52" s="18">
        <f t="shared" si="2"/>
        <v>281.69239160925412</v>
      </c>
      <c r="I52" s="18">
        <f t="shared" si="3"/>
        <v>44.832736555990735</v>
      </c>
      <c r="J52" s="52">
        <f t="shared" si="4"/>
        <v>5.1672634440092651</v>
      </c>
      <c r="K52" s="53">
        <f t="shared" si="5"/>
        <v>0.01</v>
      </c>
      <c r="L52" s="53">
        <f t="shared" si="6"/>
        <v>-0.1033452688801853</v>
      </c>
      <c r="M52" s="54"/>
      <c r="N52" s="54"/>
    </row>
    <row r="53" spans="1:14">
      <c r="A53" s="19">
        <v>38</v>
      </c>
      <c r="B53" s="51">
        <f t="shared" si="0"/>
        <v>600</v>
      </c>
      <c r="C53" s="19">
        <f t="shared" si="10"/>
        <v>1200000</v>
      </c>
      <c r="D53" s="19">
        <f t="shared" si="7"/>
        <v>120000000</v>
      </c>
      <c r="E53" s="19">
        <f t="shared" si="1"/>
        <v>190.98593171027443</v>
      </c>
      <c r="F53" s="19">
        <f t="shared" si="8"/>
        <v>-192.89579102737716</v>
      </c>
      <c r="G53" s="19">
        <f t="shared" si="9"/>
        <v>120</v>
      </c>
      <c r="H53" s="18">
        <f t="shared" si="2"/>
        <v>279.78253229215142</v>
      </c>
      <c r="I53" s="18">
        <f t="shared" si="3"/>
        <v>44.528773005063726</v>
      </c>
      <c r="J53" s="52">
        <f t="shared" si="4"/>
        <v>5.4712269949362735</v>
      </c>
      <c r="K53" s="53">
        <f t="shared" si="5"/>
        <v>0.01</v>
      </c>
      <c r="L53" s="53">
        <f t="shared" si="6"/>
        <v>-0.10942453989872547</v>
      </c>
      <c r="M53" s="54"/>
      <c r="N53" s="54"/>
    </row>
    <row r="54" spans="1:14">
      <c r="A54" s="19">
        <v>39</v>
      </c>
      <c r="B54" s="51">
        <f t="shared" si="0"/>
        <v>600</v>
      </c>
      <c r="C54" s="19">
        <f t="shared" si="10"/>
        <v>1200000</v>
      </c>
      <c r="D54" s="19">
        <f t="shared" si="7"/>
        <v>120000000</v>
      </c>
      <c r="E54" s="19">
        <f t="shared" si="1"/>
        <v>190.98593171027443</v>
      </c>
      <c r="F54" s="19">
        <f t="shared" si="8"/>
        <v>-192.89579102737716</v>
      </c>
      <c r="G54" s="19">
        <f t="shared" si="9"/>
        <v>120</v>
      </c>
      <c r="H54" s="18">
        <f t="shared" si="2"/>
        <v>277.87267297504872</v>
      </c>
      <c r="I54" s="18">
        <f t="shared" si="3"/>
        <v>44.224809454136725</v>
      </c>
      <c r="J54" s="52">
        <f t="shared" si="4"/>
        <v>5.7751905458632748</v>
      </c>
      <c r="K54" s="53">
        <f t="shared" si="5"/>
        <v>0.01</v>
      </c>
      <c r="L54" s="53">
        <f t="shared" si="6"/>
        <v>-0.1155038109172655</v>
      </c>
      <c r="M54" s="54"/>
      <c r="N54" s="54"/>
    </row>
    <row r="55" spans="1:14">
      <c r="A55" s="19">
        <v>40</v>
      </c>
      <c r="B55" s="51">
        <f t="shared" si="0"/>
        <v>600</v>
      </c>
      <c r="C55" s="19">
        <f t="shared" si="10"/>
        <v>1200000</v>
      </c>
      <c r="D55" s="19">
        <f t="shared" si="7"/>
        <v>120000000</v>
      </c>
      <c r="E55" s="19">
        <f t="shared" si="1"/>
        <v>190.98593171027443</v>
      </c>
      <c r="F55" s="19">
        <f t="shared" si="8"/>
        <v>-192.89579102737716</v>
      </c>
      <c r="G55" s="19">
        <f t="shared" si="9"/>
        <v>120</v>
      </c>
      <c r="H55" s="18">
        <f t="shared" si="2"/>
        <v>275.96281365794601</v>
      </c>
      <c r="I55" s="18">
        <f t="shared" si="3"/>
        <v>43.920845903209717</v>
      </c>
      <c r="J55" s="52">
        <f t="shared" si="4"/>
        <v>6.0791540967902833</v>
      </c>
      <c r="K55" s="53">
        <f t="shared" si="5"/>
        <v>0.01</v>
      </c>
      <c r="L55" s="53">
        <f t="shared" si="6"/>
        <v>-0.12158308193580566</v>
      </c>
      <c r="M55" s="54"/>
      <c r="N55" s="54"/>
    </row>
    <row r="56" spans="1:14">
      <c r="A56" s="19">
        <v>41</v>
      </c>
      <c r="B56" s="51">
        <f t="shared" si="0"/>
        <v>600</v>
      </c>
      <c r="C56" s="19">
        <f t="shared" si="10"/>
        <v>1200000</v>
      </c>
      <c r="D56" s="19">
        <f t="shared" si="7"/>
        <v>120000000</v>
      </c>
      <c r="E56" s="19">
        <f t="shared" si="1"/>
        <v>190.98593171027443</v>
      </c>
      <c r="F56" s="19">
        <f t="shared" si="8"/>
        <v>-192.89579102737716</v>
      </c>
      <c r="G56" s="19">
        <f t="shared" si="9"/>
        <v>120</v>
      </c>
      <c r="H56" s="18">
        <f t="shared" si="2"/>
        <v>274.05295434084331</v>
      </c>
      <c r="I56" s="18">
        <f t="shared" si="3"/>
        <v>43.616882352282708</v>
      </c>
      <c r="J56" s="52">
        <f t="shared" si="4"/>
        <v>6.3831176477172917</v>
      </c>
      <c r="K56" s="53">
        <f t="shared" si="5"/>
        <v>0.01</v>
      </c>
      <c r="L56" s="53">
        <f t="shared" si="6"/>
        <v>-0.12766235295434583</v>
      </c>
      <c r="M56" s="54"/>
      <c r="N56" s="54"/>
    </row>
    <row r="57" spans="1:14">
      <c r="A57" s="19">
        <v>42</v>
      </c>
      <c r="B57" s="51">
        <f t="shared" si="0"/>
        <v>600</v>
      </c>
      <c r="C57" s="19">
        <f t="shared" si="10"/>
        <v>1200000</v>
      </c>
      <c r="D57" s="19">
        <f t="shared" si="7"/>
        <v>120000000</v>
      </c>
      <c r="E57" s="19">
        <f t="shared" si="1"/>
        <v>190.98593171027443</v>
      </c>
      <c r="F57" s="19">
        <f t="shared" si="8"/>
        <v>-192.89579102737716</v>
      </c>
      <c r="G57" s="19">
        <f t="shared" si="9"/>
        <v>120</v>
      </c>
      <c r="H57" s="18">
        <f t="shared" si="2"/>
        <v>272.14309502374061</v>
      </c>
      <c r="I57" s="18">
        <f t="shared" si="3"/>
        <v>43.312918801355707</v>
      </c>
      <c r="J57" s="52">
        <f t="shared" si="4"/>
        <v>6.6870811986442931</v>
      </c>
      <c r="K57" s="53">
        <f t="shared" si="5"/>
        <v>0.01</v>
      </c>
      <c r="L57" s="53">
        <f t="shared" si="6"/>
        <v>-0.13374162397288586</v>
      </c>
      <c r="M57" s="54"/>
      <c r="N57" s="54"/>
    </row>
    <row r="58" spans="1:14">
      <c r="A58" s="19">
        <v>43</v>
      </c>
      <c r="B58" s="51">
        <f t="shared" si="0"/>
        <v>600</v>
      </c>
      <c r="C58" s="19">
        <f t="shared" si="10"/>
        <v>1200000</v>
      </c>
      <c r="D58" s="19">
        <f t="shared" si="7"/>
        <v>120000000</v>
      </c>
      <c r="E58" s="19">
        <f t="shared" si="1"/>
        <v>190.98593171027443</v>
      </c>
      <c r="F58" s="19">
        <f t="shared" si="8"/>
        <v>-192.89579102737716</v>
      </c>
      <c r="G58" s="19">
        <f t="shared" si="9"/>
        <v>120</v>
      </c>
      <c r="H58" s="18">
        <f t="shared" si="2"/>
        <v>270.23323570663791</v>
      </c>
      <c r="I58" s="18">
        <f t="shared" si="3"/>
        <v>43.008955250428698</v>
      </c>
      <c r="J58" s="52">
        <f t="shared" si="4"/>
        <v>6.9910447495713015</v>
      </c>
      <c r="K58" s="53">
        <f t="shared" si="5"/>
        <v>0.01</v>
      </c>
      <c r="L58" s="53">
        <f t="shared" si="6"/>
        <v>-0.13982089499142603</v>
      </c>
      <c r="M58" s="54"/>
      <c r="N58" s="54"/>
    </row>
    <row r="59" spans="1:14">
      <c r="A59" s="19">
        <v>44</v>
      </c>
      <c r="B59" s="51">
        <f t="shared" si="0"/>
        <v>600</v>
      </c>
      <c r="C59" s="19">
        <f t="shared" si="10"/>
        <v>1200000</v>
      </c>
      <c r="D59" s="19">
        <f t="shared" si="7"/>
        <v>120000000</v>
      </c>
      <c r="E59" s="19">
        <f t="shared" si="1"/>
        <v>190.98593171027443</v>
      </c>
      <c r="F59" s="19">
        <f t="shared" si="8"/>
        <v>-192.89579102737716</v>
      </c>
      <c r="G59" s="19">
        <f t="shared" si="9"/>
        <v>120</v>
      </c>
      <c r="H59" s="18">
        <f t="shared" si="2"/>
        <v>268.32337638953521</v>
      </c>
      <c r="I59" s="18">
        <f t="shared" si="3"/>
        <v>42.70499169950169</v>
      </c>
      <c r="J59" s="52">
        <f t="shared" si="4"/>
        <v>7.2950083004983099</v>
      </c>
      <c r="K59" s="53">
        <f t="shared" si="5"/>
        <v>0.01</v>
      </c>
      <c r="L59" s="53">
        <f t="shared" si="6"/>
        <v>-0.14590016600996619</v>
      </c>
      <c r="M59" s="54"/>
      <c r="N59" s="54"/>
    </row>
    <row r="60" spans="1:14">
      <c r="A60" s="19">
        <v>45</v>
      </c>
      <c r="B60" s="51">
        <f t="shared" si="0"/>
        <v>600</v>
      </c>
      <c r="C60" s="19">
        <f t="shared" si="10"/>
        <v>1200000</v>
      </c>
      <c r="D60" s="19">
        <f t="shared" si="7"/>
        <v>120000000</v>
      </c>
      <c r="E60" s="19">
        <f t="shared" si="1"/>
        <v>190.98593171027443</v>
      </c>
      <c r="F60" s="19">
        <f t="shared" si="8"/>
        <v>-192.89579102737716</v>
      </c>
      <c r="G60" s="19">
        <f t="shared" si="9"/>
        <v>120</v>
      </c>
      <c r="H60" s="18">
        <f t="shared" si="2"/>
        <v>266.41351707243251</v>
      </c>
      <c r="I60" s="18">
        <f t="shared" si="3"/>
        <v>42.401028148574682</v>
      </c>
      <c r="J60" s="52">
        <f t="shared" si="4"/>
        <v>7.5989718514253184</v>
      </c>
      <c r="K60" s="53">
        <f t="shared" si="5"/>
        <v>0.01</v>
      </c>
      <c r="L60" s="53">
        <f t="shared" si="6"/>
        <v>-0.15197943702850636</v>
      </c>
      <c r="M60" s="54"/>
      <c r="N60" s="54"/>
    </row>
    <row r="61" spans="1:14">
      <c r="A61" s="19">
        <v>46</v>
      </c>
      <c r="B61" s="51">
        <f t="shared" si="0"/>
        <v>600</v>
      </c>
      <c r="C61" s="19">
        <f t="shared" si="10"/>
        <v>1200000</v>
      </c>
      <c r="D61" s="19">
        <f t="shared" si="7"/>
        <v>120000000</v>
      </c>
      <c r="E61" s="19">
        <f t="shared" si="1"/>
        <v>190.98593171027443</v>
      </c>
      <c r="F61" s="19">
        <f t="shared" si="8"/>
        <v>-192.89579102737716</v>
      </c>
      <c r="G61" s="19">
        <f t="shared" si="9"/>
        <v>120</v>
      </c>
      <c r="H61" s="18">
        <f t="shared" si="2"/>
        <v>264.50365775532981</v>
      </c>
      <c r="I61" s="18">
        <f t="shared" si="3"/>
        <v>42.09706459764768</v>
      </c>
      <c r="J61" s="52">
        <f t="shared" si="4"/>
        <v>7.9029354023523197</v>
      </c>
      <c r="K61" s="53">
        <f t="shared" si="5"/>
        <v>0.01</v>
      </c>
      <c r="L61" s="53">
        <f t="shared" si="6"/>
        <v>-0.15805870804704639</v>
      </c>
      <c r="M61" s="54"/>
      <c r="N61" s="54"/>
    </row>
    <row r="62" spans="1:14">
      <c r="A62" s="19">
        <v>47</v>
      </c>
      <c r="B62" s="51">
        <f t="shared" si="0"/>
        <v>600</v>
      </c>
      <c r="C62" s="19">
        <f t="shared" si="10"/>
        <v>1200000</v>
      </c>
      <c r="D62" s="19">
        <f t="shared" si="7"/>
        <v>120000000</v>
      </c>
      <c r="E62" s="19">
        <f t="shared" si="1"/>
        <v>190.98593171027443</v>
      </c>
      <c r="F62" s="19">
        <f t="shared" si="8"/>
        <v>-192.89579102737716</v>
      </c>
      <c r="G62" s="19">
        <f t="shared" si="9"/>
        <v>120</v>
      </c>
      <c r="H62" s="18">
        <f t="shared" si="2"/>
        <v>262.59379843822711</v>
      </c>
      <c r="I62" s="18">
        <f t="shared" si="3"/>
        <v>41.793101046720672</v>
      </c>
      <c r="J62" s="52">
        <f t="shared" si="4"/>
        <v>8.2068989532793282</v>
      </c>
      <c r="K62" s="53">
        <f t="shared" si="5"/>
        <v>0.01</v>
      </c>
      <c r="L62" s="53">
        <f t="shared" si="6"/>
        <v>-0.16413797906558655</v>
      </c>
      <c r="M62" s="54"/>
      <c r="N62" s="54"/>
    </row>
    <row r="63" spans="1:14">
      <c r="A63" s="19">
        <v>48</v>
      </c>
      <c r="B63" s="51">
        <f t="shared" si="0"/>
        <v>600</v>
      </c>
      <c r="C63" s="19">
        <f t="shared" si="10"/>
        <v>1200000</v>
      </c>
      <c r="D63" s="19">
        <f t="shared" si="7"/>
        <v>120000000</v>
      </c>
      <c r="E63" s="19">
        <f t="shared" si="1"/>
        <v>190.98593171027443</v>
      </c>
      <c r="F63" s="19">
        <f t="shared" si="8"/>
        <v>-192.89579102737716</v>
      </c>
      <c r="G63" s="19">
        <f t="shared" si="9"/>
        <v>120</v>
      </c>
      <c r="H63" s="18">
        <f t="shared" si="2"/>
        <v>260.68393912112441</v>
      </c>
      <c r="I63" s="18">
        <f t="shared" si="3"/>
        <v>41.489137495793663</v>
      </c>
      <c r="J63" s="52">
        <f t="shared" si="4"/>
        <v>8.5108625042063366</v>
      </c>
      <c r="K63" s="53">
        <f t="shared" si="5"/>
        <v>0.01</v>
      </c>
      <c r="L63" s="53">
        <f t="shared" si="6"/>
        <v>-0.17021725008412672</v>
      </c>
      <c r="M63" s="54"/>
      <c r="N63" s="54"/>
    </row>
    <row r="64" spans="1:14">
      <c r="A64" s="19">
        <v>49</v>
      </c>
      <c r="B64" s="51">
        <f t="shared" si="0"/>
        <v>600</v>
      </c>
      <c r="C64" s="19">
        <f t="shared" si="10"/>
        <v>1200000</v>
      </c>
      <c r="D64" s="19">
        <f t="shared" si="7"/>
        <v>120000000</v>
      </c>
      <c r="E64" s="19">
        <f t="shared" si="1"/>
        <v>190.98593171027443</v>
      </c>
      <c r="F64" s="19">
        <f t="shared" si="8"/>
        <v>-192.89579102737716</v>
      </c>
      <c r="G64" s="19">
        <f t="shared" si="9"/>
        <v>120</v>
      </c>
      <c r="H64" s="18">
        <f t="shared" si="2"/>
        <v>258.77407980402171</v>
      </c>
      <c r="I64" s="18">
        <f t="shared" si="3"/>
        <v>41.185173944866662</v>
      </c>
      <c r="J64" s="52">
        <f t="shared" si="4"/>
        <v>8.8148260551333379</v>
      </c>
      <c r="K64" s="53">
        <f t="shared" si="5"/>
        <v>0.01</v>
      </c>
      <c r="L64" s="53">
        <f t="shared" si="6"/>
        <v>-0.17629652110266675</v>
      </c>
      <c r="M64" s="54"/>
      <c r="N64" s="54"/>
    </row>
    <row r="65" spans="1:14">
      <c r="A65" s="19">
        <v>50</v>
      </c>
      <c r="B65" s="51">
        <f t="shared" si="0"/>
        <v>600</v>
      </c>
      <c r="C65" s="19">
        <f t="shared" si="10"/>
        <v>1200000</v>
      </c>
      <c r="D65" s="19">
        <f t="shared" si="7"/>
        <v>120000000</v>
      </c>
      <c r="E65" s="19">
        <f t="shared" si="1"/>
        <v>190.98593171027443</v>
      </c>
      <c r="F65" s="19">
        <f t="shared" si="8"/>
        <v>-192.89579102737716</v>
      </c>
      <c r="G65" s="19">
        <f t="shared" si="9"/>
        <v>120</v>
      </c>
      <c r="H65" s="18">
        <f t="shared" si="2"/>
        <v>256.86422048691901</v>
      </c>
      <c r="I65" s="18">
        <f t="shared" si="3"/>
        <v>40.881210393939654</v>
      </c>
      <c r="J65" s="52">
        <f t="shared" si="4"/>
        <v>9.1187896060603464</v>
      </c>
      <c r="K65" s="53">
        <f t="shared" si="5"/>
        <v>0.01</v>
      </c>
      <c r="L65" s="53">
        <f t="shared" si="6"/>
        <v>-0.18237579212120691</v>
      </c>
      <c r="M65" s="54"/>
      <c r="N65" s="54"/>
    </row>
    <row r="66" spans="1:14">
      <c r="A66" s="19">
        <v>51</v>
      </c>
      <c r="B66" s="51">
        <f t="shared" si="0"/>
        <v>600</v>
      </c>
      <c r="C66" s="19">
        <f t="shared" si="10"/>
        <v>1200000</v>
      </c>
      <c r="D66" s="19">
        <f t="shared" si="7"/>
        <v>120000000</v>
      </c>
      <c r="E66" s="19">
        <f t="shared" si="1"/>
        <v>190.98593171027443</v>
      </c>
      <c r="F66" s="19">
        <f t="shared" si="8"/>
        <v>-192.89579102737716</v>
      </c>
      <c r="G66" s="19">
        <f t="shared" si="9"/>
        <v>120</v>
      </c>
      <c r="H66" s="18">
        <f t="shared" si="2"/>
        <v>254.95436116981631</v>
      </c>
      <c r="I66" s="18">
        <f t="shared" si="3"/>
        <v>40.577246843012645</v>
      </c>
      <c r="J66" s="52">
        <f t="shared" si="4"/>
        <v>9.4227531569873548</v>
      </c>
      <c r="K66" s="53">
        <f t="shared" si="5"/>
        <v>0.01</v>
      </c>
      <c r="L66" s="53">
        <f t="shared" si="6"/>
        <v>-0.18845506313974711</v>
      </c>
      <c r="M66" s="54"/>
      <c r="N66" s="54"/>
    </row>
    <row r="67" spans="1:14">
      <c r="A67" s="19">
        <v>52</v>
      </c>
      <c r="B67" s="51">
        <f t="shared" si="0"/>
        <v>600</v>
      </c>
      <c r="C67" s="19">
        <f t="shared" si="10"/>
        <v>1200000</v>
      </c>
      <c r="D67" s="19">
        <f t="shared" si="7"/>
        <v>120000000</v>
      </c>
      <c r="E67" s="19">
        <f t="shared" si="1"/>
        <v>190.98593171027443</v>
      </c>
      <c r="F67" s="19">
        <f t="shared" si="8"/>
        <v>-192.89579102737716</v>
      </c>
      <c r="G67" s="19">
        <f t="shared" si="9"/>
        <v>120</v>
      </c>
      <c r="H67" s="18">
        <f t="shared" si="2"/>
        <v>253.04450185271358</v>
      </c>
      <c r="I67" s="18">
        <f t="shared" si="3"/>
        <v>40.273283292085637</v>
      </c>
      <c r="J67" s="52">
        <f t="shared" si="4"/>
        <v>9.7267167079143633</v>
      </c>
      <c r="K67" s="53">
        <f t="shared" si="5"/>
        <v>0.01</v>
      </c>
      <c r="L67" s="53">
        <f t="shared" si="6"/>
        <v>-0.19453433415828728</v>
      </c>
      <c r="M67" s="54"/>
      <c r="N67" s="54"/>
    </row>
    <row r="68" spans="1:14">
      <c r="A68" s="19">
        <v>53</v>
      </c>
      <c r="B68" s="51">
        <f t="shared" si="0"/>
        <v>600</v>
      </c>
      <c r="C68" s="19">
        <f t="shared" si="10"/>
        <v>1200000</v>
      </c>
      <c r="D68" s="19">
        <f t="shared" si="7"/>
        <v>120000000</v>
      </c>
      <c r="E68" s="19">
        <f t="shared" si="1"/>
        <v>190.98593171027443</v>
      </c>
      <c r="F68" s="19">
        <f t="shared" si="8"/>
        <v>-192.89579102737716</v>
      </c>
      <c r="G68" s="19">
        <f t="shared" si="9"/>
        <v>120</v>
      </c>
      <c r="H68" s="18">
        <f t="shared" si="2"/>
        <v>251.13464253561085</v>
      </c>
      <c r="I68" s="18">
        <f t="shared" si="3"/>
        <v>39.969319741158621</v>
      </c>
      <c r="J68" s="52">
        <f t="shared" si="4"/>
        <v>10.030680258841379</v>
      </c>
      <c r="K68" s="53">
        <f t="shared" si="5"/>
        <v>0.01</v>
      </c>
      <c r="L68" s="53">
        <f t="shared" si="6"/>
        <v>-0.20061360517682758</v>
      </c>
      <c r="M68" s="54"/>
      <c r="N68" s="54"/>
    </row>
    <row r="69" spans="1:14">
      <c r="A69" s="19">
        <v>54</v>
      </c>
      <c r="B69" s="51">
        <f t="shared" si="0"/>
        <v>600</v>
      </c>
      <c r="C69" s="18">
        <v>0</v>
      </c>
      <c r="D69" s="19">
        <f t="shared" si="7"/>
        <v>120000000</v>
      </c>
      <c r="E69" s="19">
        <f t="shared" si="1"/>
        <v>190.98593171027443</v>
      </c>
      <c r="F69" s="19">
        <f t="shared" si="8"/>
        <v>-190.9859317102744</v>
      </c>
      <c r="G69" s="19">
        <f t="shared" si="9"/>
        <v>120</v>
      </c>
      <c r="H69" s="18">
        <f t="shared" si="2"/>
        <v>251.13464253561088</v>
      </c>
      <c r="I69" s="18">
        <f t="shared" si="3"/>
        <v>39.969319741158628</v>
      </c>
      <c r="J69" s="52">
        <f t="shared" si="4"/>
        <v>10.030680258841372</v>
      </c>
      <c r="K69" s="53">
        <f t="shared" si="5"/>
        <v>0</v>
      </c>
      <c r="L69" s="53">
        <f t="shared" si="6"/>
        <v>-0.20061360517682744</v>
      </c>
      <c r="M69" s="54"/>
      <c r="N69" s="54"/>
    </row>
    <row r="70" spans="1:14">
      <c r="A70" s="19">
        <v>55</v>
      </c>
      <c r="B70" s="51">
        <f t="shared" si="0"/>
        <v>600</v>
      </c>
      <c r="C70" s="18">
        <v>0</v>
      </c>
      <c r="D70" s="19">
        <f t="shared" si="7"/>
        <v>120000000</v>
      </c>
      <c r="E70" s="19">
        <f t="shared" si="1"/>
        <v>190.98593171027443</v>
      </c>
      <c r="F70" s="19">
        <f t="shared" si="8"/>
        <v>-190.9859317102744</v>
      </c>
      <c r="G70" s="19">
        <f t="shared" si="9"/>
        <v>120</v>
      </c>
      <c r="H70" s="18">
        <f t="shared" si="2"/>
        <v>251.13464253561091</v>
      </c>
      <c r="I70" s="18">
        <f t="shared" si="3"/>
        <v>39.969319741158635</v>
      </c>
      <c r="J70" s="52">
        <f t="shared" si="4"/>
        <v>10.030680258841365</v>
      </c>
      <c r="K70" s="53">
        <f t="shared" si="5"/>
        <v>0</v>
      </c>
      <c r="L70" s="53">
        <f t="shared" si="6"/>
        <v>-0.2006136051768273</v>
      </c>
      <c r="M70" s="54"/>
      <c r="N70" s="54"/>
    </row>
    <row r="71" spans="1:14">
      <c r="A71" s="19">
        <v>56</v>
      </c>
      <c r="B71" s="51">
        <f t="shared" si="0"/>
        <v>600</v>
      </c>
      <c r="C71" s="18">
        <v>0</v>
      </c>
      <c r="D71" s="19">
        <f t="shared" si="7"/>
        <v>120000000</v>
      </c>
      <c r="E71" s="19">
        <f t="shared" si="1"/>
        <v>190.98593171027443</v>
      </c>
      <c r="F71" s="19">
        <f t="shared" si="8"/>
        <v>-190.9859317102744</v>
      </c>
      <c r="G71" s="19">
        <f t="shared" si="9"/>
        <v>120</v>
      </c>
      <c r="H71" s="18">
        <f t="shared" si="2"/>
        <v>251.13464253561094</v>
      </c>
      <c r="I71" s="18">
        <f t="shared" si="3"/>
        <v>39.969319741158635</v>
      </c>
      <c r="J71" s="52">
        <f t="shared" si="4"/>
        <v>10.030680258841365</v>
      </c>
      <c r="K71" s="53">
        <f t="shared" si="5"/>
        <v>0</v>
      </c>
      <c r="L71" s="53">
        <f t="shared" si="6"/>
        <v>-0.2006136051768273</v>
      </c>
      <c r="M71" s="54"/>
      <c r="N71" s="54"/>
    </row>
    <row r="72" spans="1:14">
      <c r="A72" s="19">
        <v>57</v>
      </c>
      <c r="B72" s="51">
        <f t="shared" si="0"/>
        <v>600</v>
      </c>
      <c r="C72" s="18">
        <v>0</v>
      </c>
      <c r="D72" s="19">
        <f t="shared" si="7"/>
        <v>120000000</v>
      </c>
      <c r="E72" s="19">
        <f t="shared" si="1"/>
        <v>190.98593171027443</v>
      </c>
      <c r="F72" s="19">
        <f t="shared" si="8"/>
        <v>-190.9859317102744</v>
      </c>
      <c r="G72" s="19">
        <f t="shared" si="9"/>
        <v>120</v>
      </c>
      <c r="H72" s="18">
        <f t="shared" si="2"/>
        <v>251.13464253561096</v>
      </c>
      <c r="I72" s="18">
        <f t="shared" si="3"/>
        <v>39.969319741158643</v>
      </c>
      <c r="J72" s="52">
        <f t="shared" si="4"/>
        <v>10.030680258841357</v>
      </c>
      <c r="K72" s="53">
        <f t="shared" si="5"/>
        <v>0</v>
      </c>
      <c r="L72" s="53">
        <f t="shared" si="6"/>
        <v>-0.20061360517682714</v>
      </c>
      <c r="M72" s="54"/>
      <c r="N72" s="54"/>
    </row>
    <row r="73" spans="1:14">
      <c r="A73" s="19">
        <v>58</v>
      </c>
      <c r="B73" s="51">
        <f t="shared" si="0"/>
        <v>600</v>
      </c>
      <c r="C73" s="18">
        <v>0</v>
      </c>
      <c r="D73" s="19">
        <f t="shared" si="7"/>
        <v>120000000</v>
      </c>
      <c r="E73" s="19">
        <f t="shared" si="1"/>
        <v>190.98593171027443</v>
      </c>
      <c r="F73" s="19">
        <f t="shared" si="8"/>
        <v>-190.9859317102744</v>
      </c>
      <c r="G73" s="19">
        <f t="shared" si="9"/>
        <v>120</v>
      </c>
      <c r="H73" s="18">
        <f t="shared" si="2"/>
        <v>251.13464253561099</v>
      </c>
      <c r="I73" s="18">
        <f t="shared" si="3"/>
        <v>39.96931974115865</v>
      </c>
      <c r="J73" s="52">
        <f t="shared" si="4"/>
        <v>10.03068025884135</v>
      </c>
      <c r="K73" s="53">
        <f t="shared" si="5"/>
        <v>0</v>
      </c>
      <c r="L73" s="53">
        <f t="shared" si="6"/>
        <v>-0.200613605176827</v>
      </c>
      <c r="M73" s="54"/>
      <c r="N73" s="54"/>
    </row>
    <row r="74" spans="1:14">
      <c r="A74" s="19">
        <v>59</v>
      </c>
      <c r="B74" s="51">
        <f t="shared" si="0"/>
        <v>600</v>
      </c>
      <c r="C74" s="18">
        <v>0</v>
      </c>
      <c r="D74" s="19">
        <f t="shared" si="7"/>
        <v>120000000</v>
      </c>
      <c r="E74" s="19">
        <f t="shared" si="1"/>
        <v>190.98593171027443</v>
      </c>
      <c r="F74" s="19">
        <f t="shared" si="8"/>
        <v>-190.9859317102744</v>
      </c>
      <c r="G74" s="19">
        <f t="shared" si="9"/>
        <v>120</v>
      </c>
      <c r="H74" s="18">
        <f t="shared" si="2"/>
        <v>251.13464253561102</v>
      </c>
      <c r="I74" s="18">
        <f t="shared" si="3"/>
        <v>39.96931974115865</v>
      </c>
      <c r="J74" s="52">
        <f t="shared" si="4"/>
        <v>10.03068025884135</v>
      </c>
      <c r="K74" s="53">
        <f t="shared" si="5"/>
        <v>0</v>
      </c>
      <c r="L74" s="53">
        <f t="shared" si="6"/>
        <v>-0.200613605176827</v>
      </c>
      <c r="M74" s="54"/>
      <c r="N74" s="54"/>
    </row>
    <row r="75" spans="1:14">
      <c r="A75" s="19">
        <v>60</v>
      </c>
      <c r="B75" s="51">
        <f t="shared" si="0"/>
        <v>600</v>
      </c>
      <c r="C75" s="18">
        <v>0</v>
      </c>
      <c r="D75" s="19">
        <f t="shared" si="7"/>
        <v>120000000</v>
      </c>
      <c r="E75" s="19">
        <f t="shared" si="1"/>
        <v>190.98593171027443</v>
      </c>
      <c r="F75" s="19">
        <f t="shared" si="8"/>
        <v>-190.9859317102744</v>
      </c>
      <c r="G75" s="19">
        <f t="shared" si="9"/>
        <v>120</v>
      </c>
      <c r="H75" s="18">
        <f t="shared" si="2"/>
        <v>251.13464253561105</v>
      </c>
      <c r="I75" s="18">
        <f t="shared" si="3"/>
        <v>39.969319741158657</v>
      </c>
      <c r="J75" s="52">
        <f t="shared" si="4"/>
        <v>10.030680258841343</v>
      </c>
      <c r="K75" s="53">
        <f t="shared" si="5"/>
        <v>0</v>
      </c>
      <c r="L75" s="53">
        <f t="shared" si="6"/>
        <v>-0.20061360517682686</v>
      </c>
      <c r="M75" s="54"/>
      <c r="N75" s="54"/>
    </row>
    <row r="76" spans="1:14">
      <c r="A76" s="19">
        <v>61</v>
      </c>
      <c r="B76" s="51">
        <f t="shared" si="0"/>
        <v>600</v>
      </c>
      <c r="C76" s="18">
        <v>0</v>
      </c>
      <c r="D76" s="19">
        <f t="shared" si="7"/>
        <v>120000000</v>
      </c>
      <c r="E76" s="19">
        <f t="shared" si="1"/>
        <v>190.98593171027443</v>
      </c>
      <c r="F76" s="19">
        <f t="shared" si="8"/>
        <v>-190.9859317102744</v>
      </c>
      <c r="G76" s="19">
        <f t="shared" si="9"/>
        <v>120</v>
      </c>
      <c r="H76" s="18">
        <f t="shared" si="2"/>
        <v>251.13464253561108</v>
      </c>
      <c r="I76" s="18">
        <f t="shared" si="3"/>
        <v>39.969319741158664</v>
      </c>
      <c r="J76" s="52">
        <f t="shared" si="4"/>
        <v>10.030680258841336</v>
      </c>
      <c r="K76" s="53">
        <f t="shared" si="5"/>
        <v>0</v>
      </c>
      <c r="L76" s="53">
        <f t="shared" si="6"/>
        <v>-0.20061360517682672</v>
      </c>
      <c r="M76" s="54"/>
      <c r="N76" s="54"/>
    </row>
    <row r="77" spans="1:14">
      <c r="A77" s="19">
        <v>62</v>
      </c>
      <c r="B77" s="51">
        <f t="shared" si="0"/>
        <v>600</v>
      </c>
      <c r="C77" s="18">
        <v>0</v>
      </c>
      <c r="D77" s="19">
        <f t="shared" si="7"/>
        <v>120000000</v>
      </c>
      <c r="E77" s="19">
        <f t="shared" si="1"/>
        <v>190.98593171027443</v>
      </c>
      <c r="F77" s="19">
        <f t="shared" si="8"/>
        <v>-190.9859317102744</v>
      </c>
      <c r="G77" s="19">
        <f t="shared" si="9"/>
        <v>120</v>
      </c>
      <c r="H77" s="18">
        <f t="shared" si="2"/>
        <v>251.13464253561111</v>
      </c>
      <c r="I77" s="18">
        <f t="shared" si="3"/>
        <v>39.969319741158664</v>
      </c>
      <c r="J77" s="52">
        <f t="shared" si="4"/>
        <v>10.030680258841336</v>
      </c>
      <c r="K77" s="53">
        <f t="shared" si="5"/>
        <v>0</v>
      </c>
      <c r="L77" s="53">
        <f t="shared" si="6"/>
        <v>-0.20061360517682672</v>
      </c>
      <c r="M77" s="54"/>
      <c r="N77" s="54"/>
    </row>
    <row r="78" spans="1:14">
      <c r="A78" s="19">
        <v>63</v>
      </c>
      <c r="B78" s="51">
        <f t="shared" si="0"/>
        <v>600</v>
      </c>
      <c r="C78" s="18">
        <v>0</v>
      </c>
      <c r="D78" s="19">
        <f t="shared" si="7"/>
        <v>120000000</v>
      </c>
      <c r="E78" s="19">
        <f t="shared" si="1"/>
        <v>190.98593171027443</v>
      </c>
      <c r="F78" s="19">
        <f t="shared" si="8"/>
        <v>-190.9859317102744</v>
      </c>
      <c r="G78" s="19">
        <f t="shared" si="9"/>
        <v>120</v>
      </c>
      <c r="H78" s="18">
        <f t="shared" si="2"/>
        <v>251.13464253561114</v>
      </c>
      <c r="I78" s="18">
        <f t="shared" si="3"/>
        <v>39.969319741158671</v>
      </c>
      <c r="J78" s="52">
        <f t="shared" si="4"/>
        <v>10.030680258841329</v>
      </c>
      <c r="K78" s="53">
        <f t="shared" si="5"/>
        <v>0</v>
      </c>
      <c r="L78" s="53">
        <f t="shared" si="6"/>
        <v>-0.20061360517682658</v>
      </c>
      <c r="M78" s="54"/>
      <c r="N78" s="54"/>
    </row>
    <row r="79" spans="1:14">
      <c r="A79" s="19">
        <v>64</v>
      </c>
      <c r="B79" s="51">
        <f t="shared" si="0"/>
        <v>600</v>
      </c>
      <c r="C79" s="18">
        <v>0</v>
      </c>
      <c r="D79" s="19">
        <f t="shared" si="7"/>
        <v>120000000</v>
      </c>
      <c r="E79" s="19">
        <f t="shared" si="1"/>
        <v>190.98593171027443</v>
      </c>
      <c r="F79" s="19">
        <f t="shared" si="8"/>
        <v>-190.9859317102744</v>
      </c>
      <c r="G79" s="19">
        <f t="shared" si="9"/>
        <v>120</v>
      </c>
      <c r="H79" s="18">
        <f t="shared" si="2"/>
        <v>251.13464253561116</v>
      </c>
      <c r="I79" s="18">
        <f t="shared" si="3"/>
        <v>39.969319741158671</v>
      </c>
      <c r="J79" s="52">
        <f t="shared" si="4"/>
        <v>10.030680258841329</v>
      </c>
      <c r="K79" s="53">
        <f t="shared" si="5"/>
        <v>0</v>
      </c>
      <c r="L79" s="53">
        <f t="shared" si="6"/>
        <v>-0.20061360517682658</v>
      </c>
      <c r="M79" s="54"/>
      <c r="N79" s="54"/>
    </row>
    <row r="80" spans="1:14">
      <c r="A80" s="19">
        <v>65</v>
      </c>
      <c r="B80" s="51">
        <f t="shared" ref="B80:B99" si="11">$B$7+$K$10*J79</f>
        <v>600</v>
      </c>
      <c r="C80" s="18">
        <v>0</v>
      </c>
      <c r="D80" s="19">
        <f t="shared" si="7"/>
        <v>120000000</v>
      </c>
      <c r="E80" s="19">
        <f t="shared" ref="E80:E99" si="12">$L$6*D80</f>
        <v>190.98593171027443</v>
      </c>
      <c r="F80" s="19">
        <f t="shared" si="8"/>
        <v>-190.9859317102744</v>
      </c>
      <c r="G80" s="19">
        <f t="shared" si="9"/>
        <v>120</v>
      </c>
      <c r="H80" s="18">
        <f t="shared" ref="H80:H99" si="13">$L$6*D80 - $L$7 +H79 - C80*$B$10/(2*PI()*$B$4*$B$6)</f>
        <v>251.13464253561119</v>
      </c>
      <c r="I80" s="18">
        <f t="shared" ref="I80:I99" si="14">H80/(2*PI())</f>
        <v>39.969319741158678</v>
      </c>
      <c r="J80" s="52">
        <f t="shared" ref="J80:J99" si="15">$B$4-I80</f>
        <v>10.030680258841322</v>
      </c>
      <c r="K80" s="53">
        <f t="shared" ref="K80:K99" si="16">C80/($B$3*1000000)</f>
        <v>0</v>
      </c>
      <c r="L80" s="53">
        <f t="shared" ref="L80:L99" si="17">-J80/$B$4</f>
        <v>-0.20061360517682644</v>
      </c>
      <c r="M80" s="54"/>
      <c r="N80" s="54"/>
    </row>
    <row r="81" spans="1:14">
      <c r="A81" s="19">
        <v>66</v>
      </c>
      <c r="B81" s="51">
        <f t="shared" si="11"/>
        <v>600</v>
      </c>
      <c r="C81" s="18">
        <v>0</v>
      </c>
      <c r="D81" s="19">
        <f t="shared" ref="D81:D99" si="18">$L$4*($L$5*B81+D80)</f>
        <v>120000000</v>
      </c>
      <c r="E81" s="19">
        <f t="shared" si="12"/>
        <v>190.98593171027443</v>
      </c>
      <c r="F81" s="19">
        <f t="shared" ref="F81:F99" si="19">- $L$7-C81*$L$6</f>
        <v>-190.9859317102744</v>
      </c>
      <c r="G81" s="19">
        <f t="shared" ref="G81:G99" si="20">D81/1000000</f>
        <v>120</v>
      </c>
      <c r="H81" s="18">
        <f t="shared" si="13"/>
        <v>251.13464253561122</v>
      </c>
      <c r="I81" s="18">
        <f t="shared" si="14"/>
        <v>39.969319741158685</v>
      </c>
      <c r="J81" s="52">
        <f t="shared" si="15"/>
        <v>10.030680258841315</v>
      </c>
      <c r="K81" s="53">
        <f t="shared" si="16"/>
        <v>0</v>
      </c>
      <c r="L81" s="53">
        <f t="shared" si="17"/>
        <v>-0.2006136051768263</v>
      </c>
      <c r="M81" s="54"/>
      <c r="N81" s="54"/>
    </row>
    <row r="82" spans="1:14">
      <c r="A82" s="19">
        <v>67</v>
      </c>
      <c r="B82" s="51">
        <f t="shared" si="11"/>
        <v>600</v>
      </c>
      <c r="C82" s="18">
        <v>0</v>
      </c>
      <c r="D82" s="19">
        <f t="shared" si="18"/>
        <v>120000000</v>
      </c>
      <c r="E82" s="19">
        <f t="shared" si="12"/>
        <v>190.98593171027443</v>
      </c>
      <c r="F82" s="19">
        <f t="shared" si="19"/>
        <v>-190.9859317102744</v>
      </c>
      <c r="G82" s="19">
        <f t="shared" si="20"/>
        <v>120</v>
      </c>
      <c r="H82" s="18">
        <f t="shared" si="13"/>
        <v>251.13464253561125</v>
      </c>
      <c r="I82" s="18">
        <f t="shared" si="14"/>
        <v>39.969319741158685</v>
      </c>
      <c r="J82" s="52">
        <f t="shared" si="15"/>
        <v>10.030680258841315</v>
      </c>
      <c r="K82" s="53">
        <f t="shared" si="16"/>
        <v>0</v>
      </c>
      <c r="L82" s="53">
        <f t="shared" si="17"/>
        <v>-0.2006136051768263</v>
      </c>
      <c r="M82" s="54"/>
      <c r="N82" s="54"/>
    </row>
    <row r="83" spans="1:14">
      <c r="A83" s="19">
        <v>68</v>
      </c>
      <c r="B83" s="51">
        <f t="shared" si="11"/>
        <v>600</v>
      </c>
      <c r="C83" s="18">
        <v>0</v>
      </c>
      <c r="D83" s="19">
        <f t="shared" si="18"/>
        <v>120000000</v>
      </c>
      <c r="E83" s="19">
        <f t="shared" si="12"/>
        <v>190.98593171027443</v>
      </c>
      <c r="F83" s="19">
        <f t="shared" si="19"/>
        <v>-190.9859317102744</v>
      </c>
      <c r="G83" s="19">
        <f t="shared" si="20"/>
        <v>120</v>
      </c>
      <c r="H83" s="18">
        <f t="shared" si="13"/>
        <v>251.13464253561128</v>
      </c>
      <c r="I83" s="18">
        <f t="shared" si="14"/>
        <v>39.969319741158692</v>
      </c>
      <c r="J83" s="52">
        <f t="shared" si="15"/>
        <v>10.030680258841308</v>
      </c>
      <c r="K83" s="53">
        <f t="shared" si="16"/>
        <v>0</v>
      </c>
      <c r="L83" s="53">
        <f t="shared" si="17"/>
        <v>-0.20061360517682617</v>
      </c>
      <c r="M83" s="54"/>
      <c r="N83" s="54"/>
    </row>
    <row r="84" spans="1:14">
      <c r="A84" s="19">
        <v>69</v>
      </c>
      <c r="B84" s="51">
        <f t="shared" si="11"/>
        <v>600</v>
      </c>
      <c r="C84" s="18">
        <v>0</v>
      </c>
      <c r="D84" s="19">
        <f t="shared" si="18"/>
        <v>120000000</v>
      </c>
      <c r="E84" s="19">
        <f t="shared" si="12"/>
        <v>190.98593171027443</v>
      </c>
      <c r="F84" s="19">
        <f t="shared" si="19"/>
        <v>-190.9859317102744</v>
      </c>
      <c r="G84" s="19">
        <f t="shared" si="20"/>
        <v>120</v>
      </c>
      <c r="H84" s="18">
        <f t="shared" si="13"/>
        <v>251.13464253561131</v>
      </c>
      <c r="I84" s="18">
        <f t="shared" si="14"/>
        <v>39.969319741158699</v>
      </c>
      <c r="J84" s="52">
        <f t="shared" si="15"/>
        <v>10.030680258841301</v>
      </c>
      <c r="K84" s="53">
        <f t="shared" si="16"/>
        <v>0</v>
      </c>
      <c r="L84" s="53">
        <f t="shared" si="17"/>
        <v>-0.20061360517682603</v>
      </c>
      <c r="M84" s="54"/>
      <c r="N84" s="54"/>
    </row>
    <row r="85" spans="1:14">
      <c r="A85" s="19">
        <v>70</v>
      </c>
      <c r="B85" s="51">
        <f t="shared" si="11"/>
        <v>600</v>
      </c>
      <c r="C85" s="18">
        <v>0</v>
      </c>
      <c r="D85" s="19">
        <f t="shared" si="18"/>
        <v>120000000</v>
      </c>
      <c r="E85" s="19">
        <f t="shared" si="12"/>
        <v>190.98593171027443</v>
      </c>
      <c r="F85" s="19">
        <f t="shared" si="19"/>
        <v>-190.9859317102744</v>
      </c>
      <c r="G85" s="19">
        <f t="shared" si="20"/>
        <v>120</v>
      </c>
      <c r="H85" s="18">
        <f t="shared" si="13"/>
        <v>251.13464253561133</v>
      </c>
      <c r="I85" s="18">
        <f t="shared" si="14"/>
        <v>39.969319741158699</v>
      </c>
      <c r="J85" s="52">
        <f t="shared" si="15"/>
        <v>10.030680258841301</v>
      </c>
      <c r="K85" s="53">
        <f t="shared" si="16"/>
        <v>0</v>
      </c>
      <c r="L85" s="53">
        <f t="shared" si="17"/>
        <v>-0.20061360517682603</v>
      </c>
      <c r="M85" s="54"/>
      <c r="N85" s="54"/>
    </row>
    <row r="86" spans="1:14">
      <c r="A86" s="19">
        <v>71</v>
      </c>
      <c r="B86" s="51">
        <f t="shared" si="11"/>
        <v>600</v>
      </c>
      <c r="C86" s="18">
        <v>0</v>
      </c>
      <c r="D86" s="19">
        <f t="shared" si="18"/>
        <v>120000000</v>
      </c>
      <c r="E86" s="19">
        <f t="shared" si="12"/>
        <v>190.98593171027443</v>
      </c>
      <c r="F86" s="19">
        <f t="shared" si="19"/>
        <v>-190.9859317102744</v>
      </c>
      <c r="G86" s="19">
        <f t="shared" si="20"/>
        <v>120</v>
      </c>
      <c r="H86" s="18">
        <f t="shared" si="13"/>
        <v>251.13464253561136</v>
      </c>
      <c r="I86" s="18">
        <f t="shared" si="14"/>
        <v>39.969319741158706</v>
      </c>
      <c r="J86" s="52">
        <f t="shared" si="15"/>
        <v>10.030680258841294</v>
      </c>
      <c r="K86" s="53">
        <f t="shared" si="16"/>
        <v>0</v>
      </c>
      <c r="L86" s="53">
        <f t="shared" si="17"/>
        <v>-0.20061360517682586</v>
      </c>
      <c r="M86" s="54"/>
      <c r="N86" s="54"/>
    </row>
    <row r="87" spans="1:14">
      <c r="A87" s="19">
        <v>72</v>
      </c>
      <c r="B87" s="51">
        <f t="shared" si="11"/>
        <v>600</v>
      </c>
      <c r="C87" s="18">
        <v>0</v>
      </c>
      <c r="D87" s="19">
        <f t="shared" si="18"/>
        <v>120000000</v>
      </c>
      <c r="E87" s="19">
        <f t="shared" si="12"/>
        <v>190.98593171027443</v>
      </c>
      <c r="F87" s="19">
        <f t="shared" si="19"/>
        <v>-190.9859317102744</v>
      </c>
      <c r="G87" s="19">
        <f t="shared" si="20"/>
        <v>120</v>
      </c>
      <c r="H87" s="18">
        <f t="shared" si="13"/>
        <v>251.13464253561139</v>
      </c>
      <c r="I87" s="18">
        <f t="shared" si="14"/>
        <v>39.969319741158714</v>
      </c>
      <c r="J87" s="52">
        <f t="shared" si="15"/>
        <v>10.030680258841286</v>
      </c>
      <c r="K87" s="53">
        <f t="shared" si="16"/>
        <v>0</v>
      </c>
      <c r="L87" s="53">
        <f t="shared" si="17"/>
        <v>-0.20061360517682572</v>
      </c>
      <c r="M87" s="54"/>
      <c r="N87" s="54"/>
    </row>
    <row r="88" spans="1:14">
      <c r="A88" s="19">
        <v>73</v>
      </c>
      <c r="B88" s="51">
        <f t="shared" si="11"/>
        <v>600</v>
      </c>
      <c r="C88" s="18">
        <v>0</v>
      </c>
      <c r="D88" s="19">
        <f t="shared" si="18"/>
        <v>120000000</v>
      </c>
      <c r="E88" s="19">
        <f t="shared" si="12"/>
        <v>190.98593171027443</v>
      </c>
      <c r="F88" s="19">
        <f t="shared" si="19"/>
        <v>-190.9859317102744</v>
      </c>
      <c r="G88" s="19">
        <f t="shared" si="20"/>
        <v>120</v>
      </c>
      <c r="H88" s="18">
        <f t="shared" si="13"/>
        <v>251.13464253561142</v>
      </c>
      <c r="I88" s="18">
        <f t="shared" si="14"/>
        <v>39.969319741158714</v>
      </c>
      <c r="J88" s="52">
        <f t="shared" si="15"/>
        <v>10.030680258841286</v>
      </c>
      <c r="K88" s="53">
        <f t="shared" si="16"/>
        <v>0</v>
      </c>
      <c r="L88" s="53">
        <f t="shared" si="17"/>
        <v>-0.20061360517682572</v>
      </c>
      <c r="M88" s="54"/>
      <c r="N88" s="54"/>
    </row>
    <row r="89" spans="1:14">
      <c r="A89" s="19">
        <v>74</v>
      </c>
      <c r="B89" s="51">
        <f t="shared" si="11"/>
        <v>600</v>
      </c>
      <c r="C89" s="18">
        <v>0</v>
      </c>
      <c r="D89" s="19">
        <f t="shared" si="18"/>
        <v>120000000</v>
      </c>
      <c r="E89" s="19">
        <f t="shared" si="12"/>
        <v>190.98593171027443</v>
      </c>
      <c r="F89" s="19">
        <f t="shared" si="19"/>
        <v>-190.9859317102744</v>
      </c>
      <c r="G89" s="19">
        <f t="shared" si="20"/>
        <v>120</v>
      </c>
      <c r="H89" s="18">
        <f t="shared" si="13"/>
        <v>251.13464253561145</v>
      </c>
      <c r="I89" s="18">
        <f t="shared" si="14"/>
        <v>39.969319741158721</v>
      </c>
      <c r="J89" s="52">
        <f t="shared" si="15"/>
        <v>10.030680258841279</v>
      </c>
      <c r="K89" s="53">
        <f t="shared" si="16"/>
        <v>0</v>
      </c>
      <c r="L89" s="53">
        <f t="shared" si="17"/>
        <v>-0.20061360517682558</v>
      </c>
      <c r="M89" s="54"/>
      <c r="N89" s="54"/>
    </row>
    <row r="90" spans="1:14">
      <c r="A90" s="19">
        <v>75</v>
      </c>
      <c r="B90" s="51">
        <f t="shared" si="11"/>
        <v>600</v>
      </c>
      <c r="C90" s="18">
        <v>0</v>
      </c>
      <c r="D90" s="19">
        <f t="shared" si="18"/>
        <v>120000000</v>
      </c>
      <c r="E90" s="19">
        <f t="shared" si="12"/>
        <v>190.98593171027443</v>
      </c>
      <c r="F90" s="19">
        <f t="shared" si="19"/>
        <v>-190.9859317102744</v>
      </c>
      <c r="G90" s="19">
        <f t="shared" si="20"/>
        <v>120</v>
      </c>
      <c r="H90" s="18">
        <f t="shared" si="13"/>
        <v>251.13464253561148</v>
      </c>
      <c r="I90" s="18">
        <f t="shared" si="14"/>
        <v>39.969319741158721</v>
      </c>
      <c r="J90" s="52">
        <f t="shared" si="15"/>
        <v>10.030680258841279</v>
      </c>
      <c r="K90" s="53">
        <f t="shared" si="16"/>
        <v>0</v>
      </c>
      <c r="L90" s="53">
        <f t="shared" si="17"/>
        <v>-0.20061360517682558</v>
      </c>
      <c r="M90" s="54"/>
      <c r="N90" s="54"/>
    </row>
    <row r="91" spans="1:14">
      <c r="A91" s="19">
        <v>76</v>
      </c>
      <c r="B91" s="51">
        <f t="shared" si="11"/>
        <v>600</v>
      </c>
      <c r="C91" s="18">
        <v>0</v>
      </c>
      <c r="D91" s="19">
        <f t="shared" si="18"/>
        <v>120000000</v>
      </c>
      <c r="E91" s="19">
        <f t="shared" si="12"/>
        <v>190.98593171027443</v>
      </c>
      <c r="F91" s="19">
        <f t="shared" si="19"/>
        <v>-190.9859317102744</v>
      </c>
      <c r="G91" s="19">
        <f t="shared" si="20"/>
        <v>120</v>
      </c>
      <c r="H91" s="18">
        <f t="shared" si="13"/>
        <v>251.1346425356115</v>
      </c>
      <c r="I91" s="18">
        <f t="shared" si="14"/>
        <v>39.969319741158728</v>
      </c>
      <c r="J91" s="52">
        <f t="shared" si="15"/>
        <v>10.030680258841272</v>
      </c>
      <c r="K91" s="53">
        <f t="shared" si="16"/>
        <v>0</v>
      </c>
      <c r="L91" s="53">
        <f t="shared" si="17"/>
        <v>-0.20061360517682544</v>
      </c>
      <c r="M91" s="54"/>
      <c r="N91" s="54"/>
    </row>
    <row r="92" spans="1:14">
      <c r="A92" s="19">
        <v>77</v>
      </c>
      <c r="B92" s="51">
        <f t="shared" si="11"/>
        <v>600</v>
      </c>
      <c r="C92" s="18">
        <v>0</v>
      </c>
      <c r="D92" s="19">
        <f t="shared" si="18"/>
        <v>120000000</v>
      </c>
      <c r="E92" s="19">
        <f t="shared" si="12"/>
        <v>190.98593171027443</v>
      </c>
      <c r="F92" s="19">
        <f t="shared" si="19"/>
        <v>-190.9859317102744</v>
      </c>
      <c r="G92" s="19">
        <f t="shared" si="20"/>
        <v>120</v>
      </c>
      <c r="H92" s="18">
        <f t="shared" si="13"/>
        <v>251.13464253561153</v>
      </c>
      <c r="I92" s="18">
        <f t="shared" si="14"/>
        <v>39.969319741158735</v>
      </c>
      <c r="J92" s="52">
        <f t="shared" si="15"/>
        <v>10.030680258841265</v>
      </c>
      <c r="K92" s="53">
        <f t="shared" si="16"/>
        <v>0</v>
      </c>
      <c r="L92" s="53">
        <f t="shared" si="17"/>
        <v>-0.2006136051768253</v>
      </c>
      <c r="M92" s="54"/>
      <c r="N92" s="54"/>
    </row>
    <row r="93" spans="1:14">
      <c r="A93" s="19">
        <v>78</v>
      </c>
      <c r="B93" s="51">
        <f t="shared" si="11"/>
        <v>600</v>
      </c>
      <c r="C93" s="18">
        <v>0</v>
      </c>
      <c r="D93" s="19">
        <f t="shared" si="18"/>
        <v>120000000</v>
      </c>
      <c r="E93" s="19">
        <f t="shared" si="12"/>
        <v>190.98593171027443</v>
      </c>
      <c r="F93" s="19">
        <f t="shared" si="19"/>
        <v>-190.9859317102744</v>
      </c>
      <c r="G93" s="19">
        <f t="shared" si="20"/>
        <v>120</v>
      </c>
      <c r="H93" s="18">
        <f t="shared" si="13"/>
        <v>251.13464253561156</v>
      </c>
      <c r="I93" s="18">
        <f t="shared" si="14"/>
        <v>39.969319741158735</v>
      </c>
      <c r="J93" s="52">
        <f t="shared" si="15"/>
        <v>10.030680258841265</v>
      </c>
      <c r="K93" s="53">
        <f t="shared" si="16"/>
        <v>0</v>
      </c>
      <c r="L93" s="53">
        <f t="shared" si="17"/>
        <v>-0.2006136051768253</v>
      </c>
      <c r="M93" s="54"/>
      <c r="N93" s="54"/>
    </row>
    <row r="94" spans="1:14">
      <c r="A94" s="19">
        <v>79</v>
      </c>
      <c r="B94" s="51">
        <f t="shared" si="11"/>
        <v>600</v>
      </c>
      <c r="C94" s="18">
        <v>0</v>
      </c>
      <c r="D94" s="19">
        <f t="shared" si="18"/>
        <v>120000000</v>
      </c>
      <c r="E94" s="19">
        <f t="shared" si="12"/>
        <v>190.98593171027443</v>
      </c>
      <c r="F94" s="19">
        <f t="shared" si="19"/>
        <v>-190.9859317102744</v>
      </c>
      <c r="G94" s="19">
        <f t="shared" si="20"/>
        <v>120</v>
      </c>
      <c r="H94" s="18">
        <f t="shared" si="13"/>
        <v>251.13464253561159</v>
      </c>
      <c r="I94" s="18">
        <f t="shared" si="14"/>
        <v>39.969319741158742</v>
      </c>
      <c r="J94" s="52">
        <f t="shared" si="15"/>
        <v>10.030680258841258</v>
      </c>
      <c r="K94" s="53">
        <f t="shared" si="16"/>
        <v>0</v>
      </c>
      <c r="L94" s="53">
        <f t="shared" si="17"/>
        <v>-0.20061360517682517</v>
      </c>
      <c r="M94" s="54"/>
      <c r="N94" s="54"/>
    </row>
    <row r="95" spans="1:14">
      <c r="A95" s="19">
        <v>80</v>
      </c>
      <c r="B95" s="51">
        <f t="shared" si="11"/>
        <v>600</v>
      </c>
      <c r="C95" s="18">
        <v>0</v>
      </c>
      <c r="D95" s="19">
        <f t="shared" si="18"/>
        <v>120000000</v>
      </c>
      <c r="E95" s="19">
        <f t="shared" si="12"/>
        <v>190.98593171027443</v>
      </c>
      <c r="F95" s="19">
        <f t="shared" si="19"/>
        <v>-190.9859317102744</v>
      </c>
      <c r="G95" s="19">
        <f t="shared" si="20"/>
        <v>120</v>
      </c>
      <c r="H95" s="18">
        <f t="shared" si="13"/>
        <v>251.13464253561162</v>
      </c>
      <c r="I95" s="18">
        <f t="shared" si="14"/>
        <v>39.969319741158749</v>
      </c>
      <c r="J95" s="52">
        <f t="shared" si="15"/>
        <v>10.030680258841251</v>
      </c>
      <c r="K95" s="53">
        <f t="shared" si="16"/>
        <v>0</v>
      </c>
      <c r="L95" s="53">
        <f t="shared" si="17"/>
        <v>-0.20061360517682503</v>
      </c>
      <c r="M95" s="54"/>
      <c r="N95" s="54"/>
    </row>
    <row r="96" spans="1:14">
      <c r="A96" s="19">
        <v>81</v>
      </c>
      <c r="B96" s="51">
        <f t="shared" si="11"/>
        <v>600</v>
      </c>
      <c r="C96" s="18">
        <v>0</v>
      </c>
      <c r="D96" s="19">
        <f t="shared" si="18"/>
        <v>120000000</v>
      </c>
      <c r="E96" s="19">
        <f t="shared" si="12"/>
        <v>190.98593171027443</v>
      </c>
      <c r="F96" s="19">
        <f t="shared" si="19"/>
        <v>-190.9859317102744</v>
      </c>
      <c r="G96" s="19">
        <f t="shared" si="20"/>
        <v>120</v>
      </c>
      <c r="H96" s="18">
        <f t="shared" si="13"/>
        <v>251.13464253561165</v>
      </c>
      <c r="I96" s="18">
        <f t="shared" si="14"/>
        <v>39.969319741158749</v>
      </c>
      <c r="J96" s="52">
        <f t="shared" si="15"/>
        <v>10.030680258841251</v>
      </c>
      <c r="K96" s="53">
        <f t="shared" si="16"/>
        <v>0</v>
      </c>
      <c r="L96" s="53">
        <f t="shared" si="17"/>
        <v>-0.20061360517682503</v>
      </c>
      <c r="M96" s="54"/>
      <c r="N96" s="54"/>
    </row>
    <row r="97" spans="1:14">
      <c r="A97" s="19">
        <v>82</v>
      </c>
      <c r="B97" s="51">
        <f t="shared" si="11"/>
        <v>600</v>
      </c>
      <c r="C97" s="18">
        <v>0</v>
      </c>
      <c r="D97" s="19">
        <f t="shared" si="18"/>
        <v>120000000</v>
      </c>
      <c r="E97" s="19">
        <f t="shared" si="12"/>
        <v>190.98593171027443</v>
      </c>
      <c r="F97" s="19">
        <f t="shared" si="19"/>
        <v>-190.9859317102744</v>
      </c>
      <c r="G97" s="19">
        <f t="shared" si="20"/>
        <v>120</v>
      </c>
      <c r="H97" s="18">
        <f t="shared" si="13"/>
        <v>251.13464253561168</v>
      </c>
      <c r="I97" s="18">
        <f t="shared" si="14"/>
        <v>39.969319741158756</v>
      </c>
      <c r="J97" s="52">
        <f t="shared" si="15"/>
        <v>10.030680258841244</v>
      </c>
      <c r="K97" s="53">
        <f t="shared" si="16"/>
        <v>0</v>
      </c>
      <c r="L97" s="53">
        <f t="shared" si="17"/>
        <v>-0.20061360517682489</v>
      </c>
      <c r="M97" s="54"/>
      <c r="N97" s="54"/>
    </row>
    <row r="98" spans="1:14">
      <c r="A98" s="19">
        <v>83</v>
      </c>
      <c r="B98" s="51">
        <f t="shared" si="11"/>
        <v>600</v>
      </c>
      <c r="C98" s="18">
        <v>0</v>
      </c>
      <c r="D98" s="19">
        <f t="shared" si="18"/>
        <v>120000000</v>
      </c>
      <c r="E98" s="19">
        <f t="shared" si="12"/>
        <v>190.98593171027443</v>
      </c>
      <c r="F98" s="19">
        <f t="shared" si="19"/>
        <v>-190.9859317102744</v>
      </c>
      <c r="G98" s="19">
        <f t="shared" si="20"/>
        <v>120</v>
      </c>
      <c r="H98" s="18">
        <f t="shared" si="13"/>
        <v>251.1346425356117</v>
      </c>
      <c r="I98" s="18">
        <f t="shared" si="14"/>
        <v>39.969319741158763</v>
      </c>
      <c r="J98" s="52">
        <f t="shared" si="15"/>
        <v>10.030680258841237</v>
      </c>
      <c r="K98" s="53">
        <f t="shared" si="16"/>
        <v>0</v>
      </c>
      <c r="L98" s="53">
        <f t="shared" si="17"/>
        <v>-0.20061360517682472</v>
      </c>
      <c r="M98" s="54"/>
      <c r="N98" s="54"/>
    </row>
    <row r="99" spans="1:14">
      <c r="A99" s="19">
        <v>84</v>
      </c>
      <c r="B99" s="51">
        <f t="shared" si="11"/>
        <v>600</v>
      </c>
      <c r="C99" s="18">
        <v>0</v>
      </c>
      <c r="D99" s="19">
        <f t="shared" si="18"/>
        <v>120000000</v>
      </c>
      <c r="E99" s="19">
        <f t="shared" si="12"/>
        <v>190.98593171027443</v>
      </c>
      <c r="F99" s="19">
        <f t="shared" si="19"/>
        <v>-190.9859317102744</v>
      </c>
      <c r="G99" s="19">
        <f t="shared" si="20"/>
        <v>120</v>
      </c>
      <c r="H99" s="18">
        <f t="shared" si="13"/>
        <v>251.13464253561173</v>
      </c>
      <c r="I99" s="18">
        <f t="shared" si="14"/>
        <v>39.969319741158763</v>
      </c>
      <c r="J99" s="52">
        <f t="shared" si="15"/>
        <v>10.030680258841237</v>
      </c>
      <c r="K99" s="53">
        <f t="shared" si="16"/>
        <v>0</v>
      </c>
      <c r="L99" s="53">
        <f t="shared" si="17"/>
        <v>-0.20061360517682472</v>
      </c>
      <c r="M99" s="54"/>
      <c r="N99" s="54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Gleichstrommaschine</vt:lpstr>
      <vt:lpstr>Synchronmaschine</vt:lpstr>
      <vt:lpstr>Windkraftanlage</vt:lpstr>
      <vt:lpstr>Kennlinien</vt:lpstr>
      <vt:lpstr>Primärregelung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dcterms:created xsi:type="dcterms:W3CDTF">2016-10-03T17:15:36Z</dcterms:created>
  <dcterms:modified xsi:type="dcterms:W3CDTF">2017-02-05T16:45:23Z</dcterms:modified>
</cp:coreProperties>
</file>