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609"/>
  <workbookPr defaultThemeVersion="202300"/>
  <mc:AlternateContent xmlns:mc="http://schemas.openxmlformats.org/markup-compatibility/2006">
    <mc:Choice Requires="x15">
      <x15ac:absPath xmlns:x15ac="http://schemas.microsoft.com/office/spreadsheetml/2010/11/ac" url="/Users/stephan/Library/Mobile Documents/com~apple~CloudDocs/DHBW/2M_Planung_und_Analyse_von_Netzen/T3M20701_Modelle_Teil_1/"/>
    </mc:Choice>
  </mc:AlternateContent>
  <xr:revisionPtr revIDLastSave="0" documentId="13_ncr:1_{425DB0AB-8BE8-6C42-869E-9C7DA4CA05AD}" xr6:coauthVersionLast="47" xr6:coauthVersionMax="47" xr10:uidLastSave="{00000000-0000-0000-0000-000000000000}"/>
  <bookViews>
    <workbookView xWindow="27560" yWindow="3540" windowWidth="49240" windowHeight="30520" xr2:uid="{6892CB74-5A2A-5B4A-B0E6-B5648CFDB7DD}"/>
  </bookViews>
  <sheets>
    <sheet name="Niderspannungskabel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6" i="1" l="1"/>
  <c r="C37" i="1" s="1"/>
  <c r="C38" i="1" s="1"/>
  <c r="I4" i="1"/>
  <c r="G4" i="1"/>
  <c r="C4" i="1"/>
  <c r="I2" i="1"/>
  <c r="I3" i="1" s="1"/>
  <c r="G2" i="1"/>
  <c r="G3" i="1" s="1"/>
  <c r="S49" i="1"/>
  <c r="S50" i="1" s="1"/>
  <c r="C60" i="1"/>
  <c r="C59" i="1"/>
  <c r="C53" i="1"/>
  <c r="C54" i="1" s="1"/>
  <c r="C52" i="1"/>
  <c r="B31" i="1"/>
  <c r="B29" i="1"/>
  <c r="C42" i="1"/>
  <c r="C43" i="1" s="1"/>
  <c r="C44" i="1" s="1"/>
  <c r="N28" i="1"/>
  <c r="Q31" i="1" s="1"/>
  <c r="R47" i="1" s="1"/>
  <c r="O27" i="1"/>
  <c r="E57" i="1" s="1"/>
  <c r="C2" i="1"/>
  <c r="C3" i="1" s="1"/>
  <c r="R48" i="1" l="1"/>
  <c r="R49" i="1"/>
  <c r="E58" i="1"/>
  <c r="Q30" i="1"/>
  <c r="H35" i="1"/>
  <c r="R46" i="1" s="1"/>
  <c r="C61" i="1"/>
  <c r="E47" i="1"/>
  <c r="Q48" i="1" s="1"/>
  <c r="U48" i="1" s="1"/>
  <c r="Q29" i="1"/>
  <c r="E41" i="1" s="1"/>
  <c r="E48" i="1"/>
  <c r="T48" i="1" l="1"/>
  <c r="X48" i="1" s="1"/>
  <c r="R50" i="1"/>
  <c r="H58" i="1"/>
  <c r="K58" i="1" s="1"/>
  <c r="E42" i="1"/>
  <c r="E52" i="1" s="1"/>
  <c r="H57" i="1"/>
  <c r="K57" i="1" s="1"/>
  <c r="Q50" i="1" s="1"/>
  <c r="E35" i="1"/>
  <c r="Q46" i="1" s="1"/>
  <c r="E36" i="1"/>
  <c r="U50" i="1" l="1"/>
  <c r="T50" i="1"/>
  <c r="X50" i="1" s="1"/>
  <c r="U46" i="1"/>
  <c r="T46" i="1"/>
  <c r="X46" i="1" s="1"/>
  <c r="Q47" i="1"/>
  <c r="E51" i="1"/>
  <c r="Q49" i="1" s="1"/>
  <c r="U49" i="1" l="1"/>
  <c r="T49" i="1"/>
  <c r="X49" i="1" s="1"/>
  <c r="U47" i="1"/>
  <c r="T47" i="1"/>
  <c r="X47" i="1" s="1"/>
</calcChain>
</file>

<file path=xl/sharedStrings.xml><?xml version="1.0" encoding="utf-8"?>
<sst xmlns="http://schemas.openxmlformats.org/spreadsheetml/2006/main" count="186" uniqueCount="63">
  <si>
    <t>Leiterquerschnitt</t>
  </si>
  <si>
    <t>mm2</t>
  </si>
  <si>
    <t>mm</t>
  </si>
  <si>
    <t>Leiterdurchmesser</t>
  </si>
  <si>
    <t>Außendurchmesser</t>
  </si>
  <si>
    <t>Dircke Isolator</t>
  </si>
  <si>
    <t>Einzelkabel</t>
  </si>
  <si>
    <t>Vierleiter rund</t>
  </si>
  <si>
    <t>Vierleiter mit Profil</t>
  </si>
  <si>
    <t>Dicke Mantel</t>
  </si>
  <si>
    <t>dL=</t>
  </si>
  <si>
    <t>dM=</t>
  </si>
  <si>
    <t>Dreileiter rund</t>
  </si>
  <si>
    <t>Dreileiter mit Profil</t>
  </si>
  <si>
    <t>Kantenlänge profolierter Leiter:</t>
  </si>
  <si>
    <t>Dreileiter:</t>
  </si>
  <si>
    <t>Radius = Kantenlänne</t>
  </si>
  <si>
    <t>Vierleiter:</t>
  </si>
  <si>
    <t>Leitfähigkeit (Permittivität) im Vakuum</t>
  </si>
  <si>
    <t>Leitfähigkeit (Permeabilität) im Vakuum</t>
  </si>
  <si>
    <t>As/Vm</t>
  </si>
  <si>
    <t>Vs/Am</t>
  </si>
  <si>
    <t xml:space="preserve">ε0 = </t>
  </si>
  <si>
    <t xml:space="preserve">μ0 = </t>
  </si>
  <si>
    <t>Leiter</t>
  </si>
  <si>
    <t>d=</t>
  </si>
  <si>
    <t>Kapazität mit Schirm</t>
  </si>
  <si>
    <t xml:space="preserve">εr = </t>
  </si>
  <si>
    <t>PE</t>
  </si>
  <si>
    <t>PVC</t>
  </si>
  <si>
    <t>2 π εr ε0 =</t>
  </si>
  <si>
    <t>r=</t>
  </si>
  <si>
    <t>pF/m</t>
  </si>
  <si>
    <t>Dreileiter, rund</t>
  </si>
  <si>
    <t>Kapazität ohne Schirm</t>
  </si>
  <si>
    <t>R=</t>
  </si>
  <si>
    <t>ln(R/r)=</t>
  </si>
  <si>
    <t>Dreileiter, mit Profil</t>
  </si>
  <si>
    <t>a=</t>
  </si>
  <si>
    <t>Vierileiter, rund</t>
  </si>
  <si>
    <t>Vierlleiter, mit Profil</t>
  </si>
  <si>
    <t>Kapazität gegen den Schirm</t>
  </si>
  <si>
    <t>R1=</t>
  </si>
  <si>
    <t>R2=</t>
  </si>
  <si>
    <t>ln(R2/R1)=</t>
  </si>
  <si>
    <t>Übersicht</t>
  </si>
  <si>
    <t>Koaxialer Einzelleiter</t>
  </si>
  <si>
    <t>Vierleiter, rund</t>
  </si>
  <si>
    <t>Kapazitätsbelag [pF/m]</t>
  </si>
  <si>
    <t>Rw [Ω]</t>
  </si>
  <si>
    <t>PE (εr = 2,4)</t>
  </si>
  <si>
    <t>Vc [10^6 m/s]</t>
  </si>
  <si>
    <t>Indukivitätsbelag [nH/m]</t>
  </si>
  <si>
    <t>doppelter Leiterquerschnitt</t>
  </si>
  <si>
    <t>Cu</t>
  </si>
  <si>
    <t>Widerstandbelag [Ω/m]</t>
  </si>
  <si>
    <t>Induktivität</t>
  </si>
  <si>
    <t>μ/2π =</t>
  </si>
  <si>
    <t>nH/m</t>
  </si>
  <si>
    <t>natürliche Leistung [kW]</t>
  </si>
  <si>
    <t>V</t>
  </si>
  <si>
    <t>Leiterradius</t>
  </si>
  <si>
    <t>Leiterradius mit Isolator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</si>
</sst>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" x14ac:knownFonts="1">
    <font>
      <sz val="12"/>
      <color theme="1"/>
      <name val="Aptos Narrow"/>
      <family val="2"/>
      <scheme val="minor"/>
    </font>
    <font>
      <sz val="8"/>
      <name val="Aptos Narrow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2" fontId="0" fillId="0" borderId="0" xfId="0" applyNumberFormat="1"/>
    <xf numFmtId="1" fontId="0" fillId="0" borderId="0" xfId="0" applyNumberFormat="1"/>
    <xf numFmtId="0" fontId="0" fillId="0" borderId="1" xfId="0" applyBorder="1"/>
    <xf numFmtId="0" fontId="0" fillId="2" borderId="2" xfId="0" applyFill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2" borderId="0" xfId="0" applyFill="1"/>
    <xf numFmtId="11" fontId="0" fillId="2" borderId="0" xfId="0" applyNumberFormat="1" applyFill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0" xfId="0" applyAlignment="1">
      <alignment horizontal="center"/>
    </xf>
    <xf numFmtId="1" fontId="0" fillId="0" borderId="0" xfId="0" applyNumberFormat="1" applyAlignment="1">
      <alignment horizontal="center"/>
    </xf>
    <xf numFmtId="0" fontId="0" fillId="0" borderId="2" xfId="0" applyBorder="1" applyAlignment="1">
      <alignment horizontal="center"/>
    </xf>
    <xf numFmtId="1" fontId="0" fillId="0" borderId="7" xfId="0" applyNumberFormat="1" applyBorder="1" applyAlignment="1">
      <alignment horizontal="center"/>
    </xf>
    <xf numFmtId="11" fontId="0" fillId="0" borderId="7" xfId="0" applyNumberFormat="1" applyBorder="1"/>
    <xf numFmtId="164" fontId="0" fillId="0" borderId="0" xfId="0" applyNumberFormat="1"/>
    <xf numFmtId="0" fontId="0" fillId="0" borderId="0" xfId="0" applyAlignment="1">
      <alignment horizontal="center" vertical="center"/>
    </xf>
    <xf numFmtId="0" fontId="0" fillId="0" borderId="5" xfId="0" applyBorder="1" applyAlignment="1">
      <alignment horizontal="center"/>
    </xf>
    <xf numFmtId="164" fontId="0" fillId="0" borderId="5" xfId="0" applyNumberFormat="1" applyBorder="1" applyAlignment="1">
      <alignment horizontal="center"/>
    </xf>
    <xf numFmtId="0" fontId="0" fillId="0" borderId="7" xfId="0" applyBorder="1" applyAlignment="1">
      <alignment horizontal="center" vertical="center"/>
    </xf>
    <xf numFmtId="164" fontId="0" fillId="0" borderId="8" xfId="0" applyNumberFormat="1" applyBorder="1" applyAlignment="1">
      <alignment horizontal="center"/>
    </xf>
    <xf numFmtId="0" fontId="0" fillId="3" borderId="0" xfId="0" applyFill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195383</xdr:colOff>
      <xdr:row>32</xdr:row>
      <xdr:rowOff>87924</xdr:rowOff>
    </xdr:from>
    <xdr:to>
      <xdr:col>17</xdr:col>
      <xdr:colOff>1588475</xdr:colOff>
      <xdr:row>38</xdr:row>
      <xdr:rowOff>200988</xdr:rowOff>
    </xdr:to>
    <xdr:pic>
      <xdr:nvPicPr>
        <xdr:cNvPr id="7" name="Grafik 6">
          <a:extLst>
            <a:ext uri="{FF2B5EF4-FFF2-40B4-BE49-F238E27FC236}">
              <a16:creationId xmlns:a16="http://schemas.microsoft.com/office/drawing/2014/main" id="{E8EE65B0-F526-D398-8B18-15373AF27BC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596921" y="6262078"/>
          <a:ext cx="7772400" cy="1343987"/>
        </a:xfrm>
        <a:prstGeom prst="rect">
          <a:avLst/>
        </a:prstGeom>
      </xdr:spPr>
    </xdr:pic>
    <xdr:clientData/>
  </xdr:twoCellAnchor>
  <xdr:twoCellAnchor editAs="oneCell">
    <xdr:from>
      <xdr:col>10</xdr:col>
      <xdr:colOff>429846</xdr:colOff>
      <xdr:row>0</xdr:row>
      <xdr:rowOff>87924</xdr:rowOff>
    </xdr:from>
    <xdr:to>
      <xdr:col>20</xdr:col>
      <xdr:colOff>209177</xdr:colOff>
      <xdr:row>19</xdr:row>
      <xdr:rowOff>146539</xdr:rowOff>
    </xdr:to>
    <xdr:pic>
      <xdr:nvPicPr>
        <xdr:cNvPr id="8" name="Grafik 7">
          <a:extLst>
            <a:ext uri="{FF2B5EF4-FFF2-40B4-BE49-F238E27FC236}">
              <a16:creationId xmlns:a16="http://schemas.microsoft.com/office/drawing/2014/main" id="{6BDBDD7C-707A-2331-6600-FBA22B2ABFC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8831384" y="87924"/>
          <a:ext cx="10154255" cy="395653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E631CF-8999-FC42-AA7F-AECE98CBFECB}">
  <dimension ref="A1:Z61"/>
  <sheetViews>
    <sheetView tabSelected="1" zoomScale="130" zoomScaleNormal="130" workbookViewId="0">
      <selection activeCell="C37" sqref="C37"/>
    </sheetView>
  </sheetViews>
  <sheetFormatPr baseColWidth="10" defaultRowHeight="16" x14ac:dyDescent="0.2"/>
  <cols>
    <col min="5" max="5" width="12.1640625" bestFit="1" customWidth="1"/>
    <col min="16" max="16" width="7.6640625" customWidth="1"/>
    <col min="17" max="17" width="21.5" customWidth="1"/>
    <col min="18" max="18" width="21" customWidth="1"/>
    <col min="19" max="19" width="20.5" customWidth="1"/>
    <col min="21" max="21" width="12.1640625" bestFit="1" customWidth="1"/>
  </cols>
  <sheetData>
    <row r="1" spans="1:10" x14ac:dyDescent="0.2">
      <c r="A1" t="s">
        <v>0</v>
      </c>
      <c r="C1">
        <v>50</v>
      </c>
      <c r="D1" t="s">
        <v>1</v>
      </c>
      <c r="G1">
        <v>100</v>
      </c>
      <c r="H1" t="s">
        <v>1</v>
      </c>
      <c r="I1">
        <v>200</v>
      </c>
      <c r="J1" t="s">
        <v>1</v>
      </c>
    </row>
    <row r="2" spans="1:10" x14ac:dyDescent="0.2">
      <c r="C2" s="1">
        <f>2*SQRT(C1/(PI()))</f>
        <v>7.9788456080286538</v>
      </c>
      <c r="D2" t="s">
        <v>2</v>
      </c>
      <c r="E2" t="s">
        <v>3</v>
      </c>
      <c r="G2" s="1">
        <f>2*SQRT(G1/(PI()))</f>
        <v>11.283791670955125</v>
      </c>
      <c r="H2" t="s">
        <v>2</v>
      </c>
      <c r="I2" s="1">
        <f>2*SQRT(I1/(PI()))</f>
        <v>15.957691216057308</v>
      </c>
      <c r="J2" t="s">
        <v>2</v>
      </c>
    </row>
    <row r="3" spans="1:10" x14ac:dyDescent="0.2">
      <c r="C3" s="1">
        <f>C2/2</f>
        <v>3.9894228040143269</v>
      </c>
      <c r="D3" t="s">
        <v>2</v>
      </c>
      <c r="E3" t="s">
        <v>61</v>
      </c>
      <c r="G3" s="1">
        <f>G2/2</f>
        <v>5.6418958354775626</v>
      </c>
      <c r="H3" t="s">
        <v>2</v>
      </c>
      <c r="I3" s="1">
        <f>I2/2</f>
        <v>7.9788456080286538</v>
      </c>
      <c r="J3" t="s">
        <v>2</v>
      </c>
    </row>
    <row r="4" spans="1:10" x14ac:dyDescent="0.2">
      <c r="C4" s="1">
        <f>C3+$C$35</f>
        <v>5.4894228040143265</v>
      </c>
      <c r="D4" t="s">
        <v>2</v>
      </c>
      <c r="E4" t="s">
        <v>62</v>
      </c>
      <c r="G4" s="1">
        <f>G3+$C$35</f>
        <v>7.1418958354775626</v>
      </c>
      <c r="H4" t="s">
        <v>2</v>
      </c>
      <c r="I4" s="1">
        <f>I3+$C$35</f>
        <v>9.4788456080286529</v>
      </c>
      <c r="J4" t="s">
        <v>2</v>
      </c>
    </row>
    <row r="5" spans="1:10" x14ac:dyDescent="0.2">
      <c r="C5" s="1"/>
    </row>
    <row r="6" spans="1:10" x14ac:dyDescent="0.2">
      <c r="A6" t="s">
        <v>6</v>
      </c>
      <c r="C6">
        <v>15</v>
      </c>
      <c r="D6" t="s">
        <v>2</v>
      </c>
      <c r="E6" t="s">
        <v>4</v>
      </c>
    </row>
    <row r="7" spans="1:10" x14ac:dyDescent="0.2">
      <c r="B7" t="s">
        <v>11</v>
      </c>
      <c r="C7" s="1">
        <v>1.4</v>
      </c>
      <c r="D7" t="s">
        <v>2</v>
      </c>
      <c r="E7" t="s">
        <v>5</v>
      </c>
    </row>
    <row r="8" spans="1:10" x14ac:dyDescent="0.2">
      <c r="B8" t="s">
        <v>10</v>
      </c>
      <c r="C8" s="1">
        <v>1.8</v>
      </c>
      <c r="D8" t="s">
        <v>2</v>
      </c>
      <c r="E8" t="s">
        <v>9</v>
      </c>
    </row>
    <row r="9" spans="1:10" x14ac:dyDescent="0.2">
      <c r="C9" s="1"/>
    </row>
    <row r="10" spans="1:10" x14ac:dyDescent="0.2">
      <c r="A10" t="s">
        <v>12</v>
      </c>
      <c r="C10">
        <v>29</v>
      </c>
      <c r="D10" t="s">
        <v>2</v>
      </c>
      <c r="E10" t="s">
        <v>4</v>
      </c>
    </row>
    <row r="11" spans="1:10" x14ac:dyDescent="0.2">
      <c r="B11" t="s">
        <v>11</v>
      </c>
      <c r="C11" s="1">
        <v>1.4</v>
      </c>
      <c r="D11" t="s">
        <v>2</v>
      </c>
      <c r="E11" t="s">
        <v>5</v>
      </c>
    </row>
    <row r="12" spans="1:10" x14ac:dyDescent="0.2">
      <c r="B12" t="s">
        <v>10</v>
      </c>
      <c r="C12" s="1">
        <v>1.9</v>
      </c>
      <c r="D12" t="s">
        <v>2</v>
      </c>
      <c r="E12" t="s">
        <v>9</v>
      </c>
    </row>
    <row r="13" spans="1:10" x14ac:dyDescent="0.2">
      <c r="C13" s="1"/>
    </row>
    <row r="14" spans="1:10" x14ac:dyDescent="0.2">
      <c r="A14" t="s">
        <v>13</v>
      </c>
      <c r="C14">
        <v>28</v>
      </c>
      <c r="D14" t="s">
        <v>2</v>
      </c>
      <c r="E14" t="s">
        <v>4</v>
      </c>
    </row>
    <row r="15" spans="1:10" x14ac:dyDescent="0.2">
      <c r="B15" t="s">
        <v>11</v>
      </c>
      <c r="C15" s="1">
        <v>1.4</v>
      </c>
      <c r="D15" t="s">
        <v>2</v>
      </c>
      <c r="E15" t="s">
        <v>5</v>
      </c>
    </row>
    <row r="16" spans="1:10" x14ac:dyDescent="0.2">
      <c r="B16" t="s">
        <v>10</v>
      </c>
      <c r="C16" s="1">
        <v>1.9</v>
      </c>
      <c r="D16" t="s">
        <v>2</v>
      </c>
      <c r="E16" t="s">
        <v>9</v>
      </c>
    </row>
    <row r="18" spans="1:18" x14ac:dyDescent="0.2">
      <c r="A18" t="s">
        <v>7</v>
      </c>
      <c r="C18">
        <v>32</v>
      </c>
      <c r="D18" t="s">
        <v>2</v>
      </c>
      <c r="E18" t="s">
        <v>4</v>
      </c>
    </row>
    <row r="19" spans="1:18" x14ac:dyDescent="0.2">
      <c r="B19" t="s">
        <v>11</v>
      </c>
      <c r="C19" s="1">
        <v>1.4</v>
      </c>
      <c r="D19" t="s">
        <v>2</v>
      </c>
      <c r="E19" t="s">
        <v>5</v>
      </c>
    </row>
    <row r="20" spans="1:18" x14ac:dyDescent="0.2">
      <c r="B20" t="s">
        <v>10</v>
      </c>
      <c r="C20" s="1">
        <v>2</v>
      </c>
      <c r="D20" t="s">
        <v>2</v>
      </c>
      <c r="E20" t="s">
        <v>9</v>
      </c>
    </row>
    <row r="22" spans="1:18" x14ac:dyDescent="0.2">
      <c r="A22" t="s">
        <v>8</v>
      </c>
      <c r="C22">
        <v>32</v>
      </c>
      <c r="D22" t="s">
        <v>2</v>
      </c>
      <c r="E22" t="s">
        <v>4</v>
      </c>
    </row>
    <row r="23" spans="1:18" x14ac:dyDescent="0.2">
      <c r="B23" t="s">
        <v>11</v>
      </c>
      <c r="C23" s="1">
        <v>1.4</v>
      </c>
      <c r="D23" t="s">
        <v>2</v>
      </c>
      <c r="E23" t="s">
        <v>5</v>
      </c>
    </row>
    <row r="24" spans="1:18" x14ac:dyDescent="0.2">
      <c r="B24" t="s">
        <v>10</v>
      </c>
      <c r="C24" s="1">
        <v>2</v>
      </c>
      <c r="D24" t="s">
        <v>2</v>
      </c>
      <c r="E24" t="s">
        <v>9</v>
      </c>
    </row>
    <row r="26" spans="1:18" ht="17" thickBot="1" x14ac:dyDescent="0.25"/>
    <row r="27" spans="1:18" x14ac:dyDescent="0.2">
      <c r="A27" t="s">
        <v>14</v>
      </c>
      <c r="M27" s="3" t="s">
        <v>22</v>
      </c>
      <c r="N27" s="4">
        <v>8.86</v>
      </c>
      <c r="O27" s="4">
        <f>10^-12</f>
        <v>9.9999999999999998E-13</v>
      </c>
      <c r="P27" s="5" t="s">
        <v>20</v>
      </c>
      <c r="Q27" s="5" t="s">
        <v>18</v>
      </c>
      <c r="R27" s="6"/>
    </row>
    <row r="28" spans="1:18" x14ac:dyDescent="0.2">
      <c r="A28" t="s">
        <v>15</v>
      </c>
      <c r="B28">
        <v>150</v>
      </c>
      <c r="C28" t="s">
        <v>1</v>
      </c>
      <c r="D28" t="s">
        <v>0</v>
      </c>
      <c r="M28" s="7" t="s">
        <v>23</v>
      </c>
      <c r="N28" s="8">
        <f>4*PI()</f>
        <v>12.566370614359172</v>
      </c>
      <c r="O28" s="9">
        <v>9.9999999999999995E-8</v>
      </c>
      <c r="P28" t="s">
        <v>21</v>
      </c>
      <c r="Q28" t="s">
        <v>19</v>
      </c>
      <c r="R28" s="10"/>
    </row>
    <row r="29" spans="1:18" x14ac:dyDescent="0.2">
      <c r="B29" s="1">
        <f>SQRT(B28/(PI()))</f>
        <v>6.90988298942671</v>
      </c>
      <c r="C29" t="s">
        <v>2</v>
      </c>
      <c r="D29" t="s">
        <v>16</v>
      </c>
      <c r="M29" s="7" t="s">
        <v>27</v>
      </c>
      <c r="N29">
        <v>2.4</v>
      </c>
      <c r="O29" t="s">
        <v>28</v>
      </c>
      <c r="P29" t="s">
        <v>30</v>
      </c>
      <c r="Q29">
        <f>2*PI()*N29*N27*O27</f>
        <v>1.3360565237186671E-10</v>
      </c>
      <c r="R29" s="10" t="s">
        <v>20</v>
      </c>
    </row>
    <row r="30" spans="1:18" x14ac:dyDescent="0.2">
      <c r="A30" t="s">
        <v>17</v>
      </c>
      <c r="B30">
        <v>200</v>
      </c>
      <c r="C30" t="s">
        <v>1</v>
      </c>
      <c r="D30" t="s">
        <v>0</v>
      </c>
      <c r="M30" s="7" t="s">
        <v>27</v>
      </c>
      <c r="N30">
        <v>3</v>
      </c>
      <c r="O30" t="s">
        <v>29</v>
      </c>
      <c r="P30" t="s">
        <v>30</v>
      </c>
      <c r="Q30">
        <f>2*PI()*N30*N27*O27</f>
        <v>1.670070654648334E-10</v>
      </c>
      <c r="R30" s="10" t="s">
        <v>20</v>
      </c>
    </row>
    <row r="31" spans="1:18" ht="17" thickBot="1" x14ac:dyDescent="0.25">
      <c r="B31" s="1">
        <f>SQRT(B30/(PI()))</f>
        <v>7.9788456080286538</v>
      </c>
      <c r="C31" t="s">
        <v>2</v>
      </c>
      <c r="D31" t="s">
        <v>16</v>
      </c>
      <c r="M31" s="11"/>
      <c r="N31" s="12"/>
      <c r="O31" s="12"/>
      <c r="P31" s="12" t="s">
        <v>57</v>
      </c>
      <c r="Q31" s="18">
        <f>N28*O28/(2*PI())</f>
        <v>2.0000000000000002E-7</v>
      </c>
      <c r="R31" s="13" t="s">
        <v>21</v>
      </c>
    </row>
    <row r="34" spans="1:26" x14ac:dyDescent="0.2">
      <c r="A34" t="s">
        <v>24</v>
      </c>
      <c r="E34" t="s">
        <v>26</v>
      </c>
      <c r="H34" t="s">
        <v>56</v>
      </c>
    </row>
    <row r="35" spans="1:26" x14ac:dyDescent="0.2">
      <c r="A35" t="s">
        <v>6</v>
      </c>
      <c r="B35" t="s">
        <v>25</v>
      </c>
      <c r="C35" s="25">
        <v>1.5</v>
      </c>
      <c r="D35" t="s">
        <v>2</v>
      </c>
      <c r="E35" s="2">
        <f>1000000000000*Q29/C38</f>
        <v>553.06106792178184</v>
      </c>
      <c r="F35" t="s">
        <v>32</v>
      </c>
      <c r="G35" t="s">
        <v>28</v>
      </c>
      <c r="H35" s="19">
        <f>1000000000*Q31*C38</f>
        <v>48.314972837958749</v>
      </c>
      <c r="I35" t="s">
        <v>58</v>
      </c>
    </row>
    <row r="36" spans="1:26" x14ac:dyDescent="0.2">
      <c r="B36" t="s">
        <v>31</v>
      </c>
      <c r="C36" s="1">
        <f>C3+C35</f>
        <v>5.4894228040143265</v>
      </c>
      <c r="D36" t="s">
        <v>2</v>
      </c>
      <c r="E36" s="2">
        <f>1000000000000*Q30/C38</f>
        <v>691.32633490222725</v>
      </c>
      <c r="F36" t="s">
        <v>32</v>
      </c>
      <c r="G36" t="s">
        <v>29</v>
      </c>
    </row>
    <row r="37" spans="1:26" x14ac:dyDescent="0.2">
      <c r="B37" t="s">
        <v>35</v>
      </c>
      <c r="C37">
        <f>C36+C35</f>
        <v>6.9894228040143265</v>
      </c>
      <c r="D37" t="s">
        <v>2</v>
      </c>
    </row>
    <row r="38" spans="1:26" x14ac:dyDescent="0.2">
      <c r="B38" t="s">
        <v>36</v>
      </c>
      <c r="C38">
        <f>LN(C37/C36)</f>
        <v>0.24157486418979371</v>
      </c>
    </row>
    <row r="40" spans="1:26" x14ac:dyDescent="0.2">
      <c r="A40" t="s">
        <v>33</v>
      </c>
      <c r="E40" t="s">
        <v>34</v>
      </c>
    </row>
    <row r="41" spans="1:26" x14ac:dyDescent="0.2">
      <c r="B41" t="s">
        <v>25</v>
      </c>
      <c r="C41">
        <v>1.5</v>
      </c>
      <c r="D41" t="s">
        <v>2</v>
      </c>
      <c r="E41" s="2">
        <f>1000000000000*1*Q29/(2*C44)</f>
        <v>71.499695725463411</v>
      </c>
      <c r="F41" t="s">
        <v>32</v>
      </c>
      <c r="G41" t="s">
        <v>28</v>
      </c>
    </row>
    <row r="42" spans="1:26" x14ac:dyDescent="0.2">
      <c r="B42" t="s">
        <v>31</v>
      </c>
      <c r="C42">
        <f>4+C41</f>
        <v>5.5</v>
      </c>
      <c r="D42" t="s">
        <v>2</v>
      </c>
      <c r="E42" s="2">
        <f>1000000000000*1*Q30/(2*C44)</f>
        <v>89.374619656829282</v>
      </c>
      <c r="F42" t="s">
        <v>32</v>
      </c>
      <c r="G42" t="s">
        <v>29</v>
      </c>
    </row>
    <row r="43" spans="1:26" ht="17" thickBot="1" x14ac:dyDescent="0.25">
      <c r="B43" t="s">
        <v>35</v>
      </c>
      <c r="C43">
        <f>C42+C41</f>
        <v>7</v>
      </c>
      <c r="D43" t="s">
        <v>2</v>
      </c>
    </row>
    <row r="44" spans="1:26" x14ac:dyDescent="0.2">
      <c r="B44" t="s">
        <v>36</v>
      </c>
      <c r="C44">
        <f>LN(2*C43/C42)</f>
        <v>0.93430923737683336</v>
      </c>
      <c r="O44" s="3" t="s">
        <v>45</v>
      </c>
      <c r="P44" s="5"/>
      <c r="Q44" s="16" t="s">
        <v>50</v>
      </c>
      <c r="R44" s="5"/>
      <c r="S44" s="5" t="s">
        <v>54</v>
      </c>
      <c r="T44" s="6"/>
      <c r="X44" t="s">
        <v>59</v>
      </c>
    </row>
    <row r="45" spans="1:26" x14ac:dyDescent="0.2">
      <c r="O45" s="7"/>
      <c r="Q45" s="14" t="s">
        <v>48</v>
      </c>
      <c r="R45" s="14" t="s">
        <v>52</v>
      </c>
      <c r="S45" s="20" t="s">
        <v>55</v>
      </c>
      <c r="T45" s="21" t="s">
        <v>49</v>
      </c>
      <c r="U45" s="14" t="s">
        <v>51</v>
      </c>
    </row>
    <row r="46" spans="1:26" x14ac:dyDescent="0.2">
      <c r="A46" t="s">
        <v>37</v>
      </c>
      <c r="E46" t="s">
        <v>34</v>
      </c>
      <c r="O46" s="7" t="s">
        <v>46</v>
      </c>
      <c r="Q46" s="15">
        <f>E35</f>
        <v>553.06106792178184</v>
      </c>
      <c r="R46" s="15">
        <f>H35</f>
        <v>48.314972837958749</v>
      </c>
      <c r="S46" s="20">
        <v>0.34</v>
      </c>
      <c r="T46" s="22">
        <f>SQRT(1000*R46/Q46)</f>
        <v>9.346614398320451</v>
      </c>
      <c r="U46" s="15">
        <f>0.000001/SQRT(Q46*R46*1E-21)</f>
        <v>193.45171588251966</v>
      </c>
      <c r="X46" s="2">
        <f>0.001*Y46*Y46/T46</f>
        <v>60.182219574724186</v>
      </c>
      <c r="Y46">
        <v>750</v>
      </c>
      <c r="Z46" t="s">
        <v>60</v>
      </c>
    </row>
    <row r="47" spans="1:26" x14ac:dyDescent="0.2">
      <c r="B47" t="s">
        <v>25</v>
      </c>
      <c r="C47">
        <v>3</v>
      </c>
      <c r="D47" t="s">
        <v>2</v>
      </c>
      <c r="E47" s="2">
        <f>1000000000000*1.5*N29*N27*O27*C48/C47</f>
        <v>74.423999999999992</v>
      </c>
      <c r="F47" t="s">
        <v>32</v>
      </c>
      <c r="G47" t="s">
        <v>28</v>
      </c>
      <c r="O47" s="7" t="s">
        <v>33</v>
      </c>
      <c r="Q47" s="15">
        <f>E41</f>
        <v>71.499695725463411</v>
      </c>
      <c r="R47" s="15">
        <f>1000000000*Q31*C44*2</f>
        <v>373.72369495073337</v>
      </c>
      <c r="S47" s="20">
        <v>0.34</v>
      </c>
      <c r="T47" s="22">
        <f t="shared" ref="T47:T50" si="0">SQRT(1000*R47/Q47)</f>
        <v>72.29749005417473</v>
      </c>
      <c r="U47" s="15">
        <f t="shared" ref="U47:U50" si="1">0.000001/SQRT(Q47*R47*1E-21)</f>
        <v>193.45171588251969</v>
      </c>
      <c r="X47" s="2">
        <f t="shared" ref="X47:X50" si="2">0.001*Y47*Y47/T47</f>
        <v>31.121412352130147</v>
      </c>
      <c r="Y47">
        <v>1500</v>
      </c>
      <c r="Z47" t="s">
        <v>60</v>
      </c>
    </row>
    <row r="48" spans="1:26" x14ac:dyDescent="0.2">
      <c r="B48" t="s">
        <v>38</v>
      </c>
      <c r="C48">
        <v>7</v>
      </c>
      <c r="D48" t="s">
        <v>2</v>
      </c>
      <c r="E48" s="2">
        <f>1000000000000*1.5*N30*N27*O27*C48/C47</f>
        <v>93.029999999999987</v>
      </c>
      <c r="F48" t="s">
        <v>32</v>
      </c>
      <c r="G48" t="s">
        <v>29</v>
      </c>
      <c r="O48" s="7" t="s">
        <v>13</v>
      </c>
      <c r="Q48" s="15">
        <f>E47</f>
        <v>74.423999999999992</v>
      </c>
      <c r="R48" s="15">
        <f>R47*0.97</f>
        <v>362.51198410221139</v>
      </c>
      <c r="S48" s="20">
        <v>0.34</v>
      </c>
      <c r="T48" s="22">
        <f t="shared" si="0"/>
        <v>69.79184512537357</v>
      </c>
      <c r="U48" s="15">
        <f t="shared" si="1"/>
        <v>192.52286320469764</v>
      </c>
      <c r="X48" s="2">
        <f t="shared" si="2"/>
        <v>32.238723535079437</v>
      </c>
      <c r="Y48">
        <v>1500</v>
      </c>
      <c r="Z48" t="s">
        <v>60</v>
      </c>
    </row>
    <row r="49" spans="1:26" x14ac:dyDescent="0.2">
      <c r="O49" s="7" t="s">
        <v>47</v>
      </c>
      <c r="Q49" s="15">
        <f>E51</f>
        <v>142.99939145092682</v>
      </c>
      <c r="R49" s="15">
        <f>R47/2</f>
        <v>186.86184747536669</v>
      </c>
      <c r="S49" s="20">
        <f>S48/2</f>
        <v>0.17</v>
      </c>
      <c r="T49" s="22">
        <f t="shared" si="0"/>
        <v>36.148745027087365</v>
      </c>
      <c r="U49" s="15">
        <f t="shared" si="1"/>
        <v>193.45171588251969</v>
      </c>
      <c r="V49" t="s">
        <v>53</v>
      </c>
      <c r="X49" s="2">
        <f t="shared" si="2"/>
        <v>62.242824704260293</v>
      </c>
      <c r="Y49">
        <v>1500</v>
      </c>
      <c r="Z49" t="s">
        <v>60</v>
      </c>
    </row>
    <row r="50" spans="1:26" ht="17" thickBot="1" x14ac:dyDescent="0.25">
      <c r="A50" t="s">
        <v>39</v>
      </c>
      <c r="E50" t="s">
        <v>34</v>
      </c>
      <c r="O50" s="11" t="s">
        <v>8</v>
      </c>
      <c r="P50" s="12"/>
      <c r="Q50" s="17">
        <f>K57</f>
        <v>123.66984563987022</v>
      </c>
      <c r="R50" s="17">
        <f>R48/1.67</f>
        <v>217.07304437258168</v>
      </c>
      <c r="S50" s="23">
        <f>S49</f>
        <v>0.17</v>
      </c>
      <c r="T50" s="24">
        <f t="shared" si="0"/>
        <v>41.89585320396246</v>
      </c>
      <c r="U50" s="15">
        <f t="shared" si="1"/>
        <v>193.00348104047822</v>
      </c>
      <c r="V50" t="s">
        <v>53</v>
      </c>
      <c r="X50" s="2">
        <f t="shared" si="2"/>
        <v>53.704599093525509</v>
      </c>
      <c r="Y50">
        <v>1500</v>
      </c>
      <c r="Z50" t="s">
        <v>60</v>
      </c>
    </row>
    <row r="51" spans="1:26" x14ac:dyDescent="0.2">
      <c r="B51" t="s">
        <v>25</v>
      </c>
      <c r="C51">
        <v>1.5</v>
      </c>
      <c r="D51" t="s">
        <v>2</v>
      </c>
      <c r="E51" s="2">
        <f>2*E41</f>
        <v>142.99939145092682</v>
      </c>
      <c r="F51" t="s">
        <v>32</v>
      </c>
      <c r="G51" t="s">
        <v>28</v>
      </c>
      <c r="H51" s="2"/>
      <c r="Q51" s="14"/>
    </row>
    <row r="52" spans="1:26" x14ac:dyDescent="0.2">
      <c r="B52" t="s">
        <v>31</v>
      </c>
      <c r="C52">
        <f>4+C51</f>
        <v>5.5</v>
      </c>
      <c r="D52" t="s">
        <v>2</v>
      </c>
      <c r="E52" s="2">
        <f>2*E42</f>
        <v>178.74923931365856</v>
      </c>
      <c r="F52" t="s">
        <v>32</v>
      </c>
      <c r="G52" t="s">
        <v>29</v>
      </c>
      <c r="H52" s="2"/>
    </row>
    <row r="53" spans="1:26" x14ac:dyDescent="0.2">
      <c r="B53" t="s">
        <v>35</v>
      </c>
      <c r="C53">
        <f>C52+C51</f>
        <v>7</v>
      </c>
      <c r="D53" t="s">
        <v>2</v>
      </c>
    </row>
    <row r="54" spans="1:26" x14ac:dyDescent="0.2">
      <c r="B54" t="s">
        <v>36</v>
      </c>
      <c r="C54">
        <f>LN(2*C53/C52)</f>
        <v>0.93430923737683336</v>
      </c>
    </row>
    <row r="56" spans="1:26" x14ac:dyDescent="0.2">
      <c r="A56" t="s">
        <v>40</v>
      </c>
      <c r="E56" t="s">
        <v>34</v>
      </c>
      <c r="H56" t="s">
        <v>41</v>
      </c>
      <c r="K56" t="s">
        <v>26</v>
      </c>
    </row>
    <row r="57" spans="1:26" x14ac:dyDescent="0.2">
      <c r="B57" t="s">
        <v>25</v>
      </c>
      <c r="C57">
        <v>3</v>
      </c>
      <c r="D57" t="s">
        <v>2</v>
      </c>
      <c r="E57" s="2">
        <f>1000000000000*N29*N27*O27*C58/C57</f>
        <v>113.408</v>
      </c>
      <c r="F57" t="s">
        <v>32</v>
      </c>
      <c r="G57" t="s">
        <v>28</v>
      </c>
      <c r="H57" s="2">
        <f>1000000000000*Q29/(C61*8)</f>
        <v>10.26184563987022</v>
      </c>
      <c r="I57" t="s">
        <v>32</v>
      </c>
      <c r="J57" t="s">
        <v>28</v>
      </c>
      <c r="K57" s="2">
        <f>E57+H57</f>
        <v>123.66984563987022</v>
      </c>
      <c r="L57" t="s">
        <v>32</v>
      </c>
      <c r="M57" t="s">
        <v>28</v>
      </c>
    </row>
    <row r="58" spans="1:26" x14ac:dyDescent="0.2">
      <c r="B58" t="s">
        <v>38</v>
      </c>
      <c r="C58">
        <v>16</v>
      </c>
      <c r="D58" t="s">
        <v>2</v>
      </c>
      <c r="E58" s="2">
        <f>1000000000000*N30*N27*O27*C58/C57</f>
        <v>141.76</v>
      </c>
      <c r="F58" t="s">
        <v>32</v>
      </c>
      <c r="G58" t="s">
        <v>29</v>
      </c>
      <c r="H58" s="2">
        <f>1000000000000*Q30/(C61*8)</f>
        <v>12.827307049837776</v>
      </c>
      <c r="I58" t="s">
        <v>32</v>
      </c>
      <c r="J58" t="s">
        <v>29</v>
      </c>
      <c r="K58" s="2">
        <f>E58+H58</f>
        <v>154.58730704983776</v>
      </c>
      <c r="L58" t="s">
        <v>32</v>
      </c>
      <c r="M58" t="s">
        <v>29</v>
      </c>
    </row>
    <row r="59" spans="1:26" x14ac:dyDescent="0.2">
      <c r="B59" t="s">
        <v>42</v>
      </c>
      <c r="C59">
        <f>C58/2+C57</f>
        <v>11</v>
      </c>
      <c r="D59" t="s">
        <v>2</v>
      </c>
    </row>
    <row r="60" spans="1:26" x14ac:dyDescent="0.2">
      <c r="B60" t="s">
        <v>43</v>
      </c>
      <c r="C60">
        <f>C22-4</f>
        <v>28</v>
      </c>
      <c r="D60" t="s">
        <v>2</v>
      </c>
    </row>
    <row r="61" spans="1:26" x14ac:dyDescent="0.2">
      <c r="B61" t="s">
        <v>44</v>
      </c>
      <c r="C61">
        <f>LN(2*C60/C59)</f>
        <v>1.6274564179367788</v>
      </c>
    </row>
  </sheetData>
  <phoneticPr fontId="1" type="noConversion"/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Niderspannungskabel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PT Dr Stephan Rupp</dc:creator>
  <cp:lastModifiedBy>PT Dr Stephan Rupp</cp:lastModifiedBy>
  <dcterms:created xsi:type="dcterms:W3CDTF">2024-06-25T10:36:41Z</dcterms:created>
  <dcterms:modified xsi:type="dcterms:W3CDTF">2024-07-07T06:45:00Z</dcterms:modified>
</cp:coreProperties>
</file>