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phan/Library/Mobile Documents/com~apple~CloudDocs/DHBW/1M_Planung_und_Analyse von Netzen/Arbeitsblätter/1_Lastfluss-Regelung/"/>
    </mc:Choice>
  </mc:AlternateContent>
  <xr:revisionPtr revIDLastSave="0" documentId="13_ncr:1_{A61ED1F8-8949-E04D-BA2B-7D7D9779A786}" xr6:coauthVersionLast="47" xr6:coauthVersionMax="47" xr10:uidLastSave="{00000000-0000-0000-0000-000000000000}"/>
  <bookViews>
    <workbookView xWindow="13880" yWindow="14720" windowWidth="27940" windowHeight="21700" tabRatio="500" xr2:uid="{00000000-000D-0000-FFFF-FFFF00000000}"/>
  </bookViews>
  <sheets>
    <sheet name="UPFC_220kV" sheetId="11" r:id="rId1"/>
    <sheet name="Computer" sheetId="16" r:id="rId2"/>
    <sheet name="Dimensionierung auf 220kV" sheetId="12" r:id="rId3"/>
    <sheet name="Dimensionionierung auf 380kV" sheetId="1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7" l="1"/>
  <c r="D16" i="17"/>
  <c r="D4" i="17"/>
  <c r="D3" i="17"/>
  <c r="D5" i="17"/>
  <c r="D19" i="17"/>
  <c r="C5" i="17"/>
  <c r="C16" i="17"/>
  <c r="C19" i="17"/>
  <c r="D12" i="17"/>
  <c r="D17" i="17"/>
  <c r="C17" i="17"/>
  <c r="D10" i="17"/>
  <c r="D15" i="17"/>
  <c r="C15" i="17"/>
  <c r="D13" i="17"/>
  <c r="D14" i="17"/>
  <c r="C14" i="17"/>
  <c r="D6" i="17"/>
  <c r="D7" i="17"/>
  <c r="D8" i="17"/>
  <c r="D9" i="17"/>
  <c r="C8" i="17"/>
  <c r="C9" i="17"/>
  <c r="T13" i="16"/>
  <c r="K19" i="11"/>
  <c r="J19" i="11"/>
  <c r="I19" i="11"/>
  <c r="H19" i="11"/>
  <c r="C14" i="11"/>
  <c r="S7" i="16"/>
  <c r="B3" i="16"/>
  <c r="B4" i="16"/>
  <c r="G14" i="11"/>
  <c r="E8" i="16"/>
  <c r="B5" i="16"/>
  <c r="T14" i="16"/>
  <c r="H12" i="16"/>
  <c r="H11" i="16"/>
  <c r="Q12" i="16"/>
  <c r="Q11" i="16"/>
  <c r="X14" i="16"/>
  <c r="Q38" i="16"/>
  <c r="Q39" i="16"/>
  <c r="Q40" i="16"/>
  <c r="P29" i="16"/>
  <c r="P28" i="16"/>
  <c r="S8" i="16"/>
  <c r="S10" i="16"/>
  <c r="E6" i="16"/>
  <c r="U7" i="16"/>
  <c r="E5" i="16"/>
  <c r="E7" i="16"/>
  <c r="X13" i="16"/>
  <c r="S9" i="16"/>
  <c r="K9" i="16"/>
  <c r="J9" i="16"/>
  <c r="V10" i="16"/>
  <c r="C8" i="16"/>
  <c r="C6" i="16"/>
  <c r="C5" i="16"/>
  <c r="B7" i="16"/>
  <c r="P9" i="16"/>
  <c r="O7" i="16"/>
  <c r="O6" i="16"/>
  <c r="U9" i="16"/>
  <c r="V9" i="16"/>
  <c r="L9" i="16"/>
  <c r="M7" i="16"/>
  <c r="N9" i="16"/>
  <c r="T15" i="16"/>
  <c r="P18" i="16"/>
  <c r="W9" i="16"/>
  <c r="Q21" i="16"/>
  <c r="N18" i="16"/>
  <c r="S21" i="16"/>
  <c r="R21" i="16"/>
  <c r="T21" i="16"/>
  <c r="D12" i="12"/>
  <c r="D17" i="12"/>
  <c r="C17" i="12"/>
  <c r="D11" i="12"/>
  <c r="D16" i="12"/>
  <c r="C16" i="12"/>
  <c r="D10" i="12"/>
  <c r="D15" i="12"/>
  <c r="C15" i="12"/>
  <c r="D3" i="12"/>
  <c r="D13" i="12"/>
  <c r="D14" i="12"/>
  <c r="C14" i="12"/>
  <c r="C8" i="12"/>
  <c r="C5" i="12"/>
  <c r="C9" i="12"/>
  <c r="D7" i="12"/>
  <c r="D6" i="12"/>
  <c r="D8" i="12"/>
  <c r="D4" i="12"/>
  <c r="D5" i="12"/>
  <c r="D9" i="12"/>
  <c r="C15" i="11"/>
  <c r="K7" i="16"/>
  <c r="K6" i="16"/>
  <c r="P7" i="16"/>
  <c r="J7" i="16"/>
  <c r="J6" i="16"/>
  <c r="T16" i="16"/>
  <c r="T17" i="16"/>
  <c r="G7" i="16"/>
  <c r="N13" i="11"/>
  <c r="L7" i="16"/>
  <c r="N7" i="16"/>
  <c r="O4" i="16"/>
  <c r="P6" i="16"/>
  <c r="J4" i="16"/>
  <c r="N4" i="16"/>
  <c r="T18" i="16"/>
  <c r="K4" i="16"/>
  <c r="H7" i="16"/>
  <c r="O13" i="11"/>
  <c r="M4" i="16"/>
  <c r="L6" i="16"/>
  <c r="H6" i="16"/>
  <c r="N6" i="16"/>
  <c r="G6" i="16"/>
  <c r="K8" i="16"/>
  <c r="P8" i="16"/>
  <c r="K5" i="16"/>
  <c r="P4" i="16"/>
  <c r="K20" i="16"/>
  <c r="K16" i="16"/>
  <c r="P16" i="16"/>
  <c r="J20" i="16"/>
  <c r="J16" i="16"/>
  <c r="G4" i="16"/>
  <c r="J8" i="16"/>
  <c r="J5" i="16"/>
  <c r="L4" i="16"/>
  <c r="H4" i="16"/>
  <c r="W21" i="16"/>
  <c r="W22" i="16"/>
  <c r="J21" i="11"/>
  <c r="O17" i="16"/>
  <c r="P17" i="16"/>
  <c r="G5" i="16"/>
  <c r="L5" i="16"/>
  <c r="H5" i="16"/>
  <c r="L8" i="16"/>
  <c r="H8" i="16"/>
  <c r="N8" i="16"/>
  <c r="G8" i="16"/>
  <c r="J14" i="11"/>
  <c r="I21" i="16"/>
  <c r="J22" i="16"/>
  <c r="I22" i="16"/>
  <c r="F7" i="16"/>
  <c r="K21" i="11"/>
  <c r="H21" i="11"/>
  <c r="I21" i="11"/>
  <c r="Q26" i="16"/>
  <c r="S26" i="16"/>
  <c r="I17" i="16"/>
  <c r="N16" i="16"/>
  <c r="J18" i="16"/>
  <c r="Q24" i="16"/>
  <c r="R26" i="16"/>
  <c r="T26" i="16"/>
  <c r="Q29" i="16"/>
  <c r="M7" i="11"/>
  <c r="S24" i="16"/>
  <c r="R24" i="16"/>
  <c r="Q7" i="11"/>
  <c r="M17" i="16"/>
  <c r="N17" i="16"/>
  <c r="I18" i="16"/>
  <c r="Q22" i="16"/>
  <c r="Q23" i="16"/>
  <c r="S22" i="16"/>
  <c r="Q10" i="11"/>
  <c r="R22" i="16"/>
  <c r="N7" i="11"/>
  <c r="T24" i="16"/>
  <c r="P7" i="11"/>
  <c r="R23" i="16"/>
  <c r="S23" i="16"/>
  <c r="Q28" i="16"/>
  <c r="M4" i="11"/>
  <c r="Q25" i="16"/>
  <c r="S29" i="16"/>
  <c r="Q4" i="11"/>
  <c r="T29" i="16"/>
  <c r="O7" i="11"/>
  <c r="Q30" i="16"/>
  <c r="N4" i="11"/>
  <c r="T23" i="16"/>
  <c r="R25" i="16"/>
  <c r="R28" i="16"/>
  <c r="S28" i="16"/>
  <c r="S25" i="16"/>
  <c r="P4" i="11"/>
  <c r="R29" i="16"/>
  <c r="T22" i="16"/>
  <c r="R30" i="16"/>
  <c r="N10" i="11"/>
  <c r="S30" i="16"/>
  <c r="P10" i="11"/>
  <c r="O10" i="11"/>
  <c r="T30" i="16"/>
  <c r="T28" i="16"/>
  <c r="O4" i="11"/>
</calcChain>
</file>

<file path=xl/sharedStrings.xml><?xml version="1.0" encoding="utf-8"?>
<sst xmlns="http://schemas.openxmlformats.org/spreadsheetml/2006/main" count="214" uniqueCount="142">
  <si>
    <t>Grad</t>
  </si>
  <si>
    <t>Re</t>
  </si>
  <si>
    <t>Im</t>
  </si>
  <si>
    <t>V</t>
  </si>
  <si>
    <t>Ω</t>
  </si>
  <si>
    <t>A</t>
  </si>
  <si>
    <t>I=</t>
  </si>
  <si>
    <t>U1=</t>
  </si>
  <si>
    <t>U0</t>
  </si>
  <si>
    <t>Ux=</t>
  </si>
  <si>
    <t>Us=</t>
  </si>
  <si>
    <t>phi1=</t>
  </si>
  <si>
    <t>phix=</t>
  </si>
  <si>
    <t>Ux</t>
  </si>
  <si>
    <t>U1</t>
  </si>
  <si>
    <t>U1'</t>
  </si>
  <si>
    <t>U2</t>
  </si>
  <si>
    <t>cosphi</t>
  </si>
  <si>
    <t>Grid 1</t>
  </si>
  <si>
    <t>Grid 2</t>
  </si>
  <si>
    <t>phi</t>
  </si>
  <si>
    <t>Re (V)</t>
  </si>
  <si>
    <t>Im (V)</t>
  </si>
  <si>
    <t>P2=</t>
  </si>
  <si>
    <t>cos φ =</t>
  </si>
  <si>
    <t>φ =</t>
  </si>
  <si>
    <t>I2</t>
  </si>
  <si>
    <t>Re (A)</t>
  </si>
  <si>
    <t>Im (A)</t>
  </si>
  <si>
    <t>RL2=</t>
  </si>
  <si>
    <t>XL2=</t>
  </si>
  <si>
    <t>UL2</t>
  </si>
  <si>
    <t>UL1</t>
  </si>
  <si>
    <r>
      <t xml:space="preserve">UL1 = I1 </t>
    </r>
    <r>
      <rPr>
        <sz val="12"/>
        <color rgb="FF00B050"/>
        <rFont val="Calibri"/>
        <family val="2"/>
      </rPr>
      <t>ZL1</t>
    </r>
  </si>
  <si>
    <r>
      <t xml:space="preserve">UL2 = I2 </t>
    </r>
    <r>
      <rPr>
        <sz val="12"/>
        <color rgb="FF00B050"/>
        <rFont val="Calibri"/>
        <family val="2"/>
      </rPr>
      <t>ZL2</t>
    </r>
  </si>
  <si>
    <r>
      <t>I1 + I2 =</t>
    </r>
    <r>
      <rPr>
        <sz val="12"/>
        <color rgb="FF00B050"/>
        <rFont val="Calibri"/>
        <family val="2"/>
      </rPr>
      <t xml:space="preserve"> I</t>
    </r>
  </si>
  <si>
    <t>=&gt; UL2 =&gt; UL1 =&gt; I1, I2</t>
  </si>
  <si>
    <t>RL1=</t>
  </si>
  <si>
    <t>XL1=</t>
  </si>
  <si>
    <r>
      <t xml:space="preserve">UL1 = UL2 - </t>
    </r>
    <r>
      <rPr>
        <sz val="12"/>
        <color rgb="FF00B050"/>
        <rFont val="Calibri"/>
        <family val="2"/>
      </rPr>
      <t>Ux</t>
    </r>
  </si>
  <si>
    <t>I1</t>
  </si>
  <si>
    <t>L1</t>
  </si>
  <si>
    <t>L2</t>
  </si>
  <si>
    <t>L1+L2=</t>
  </si>
  <si>
    <t>Amplitude:</t>
  </si>
  <si>
    <t>I/Imax</t>
  </si>
  <si>
    <t>(1-Z1/Z2)</t>
  </si>
  <si>
    <t>Phase:</t>
  </si>
  <si>
    <t>(φZ1 + φZ2)/2 + φI</t>
  </si>
  <si>
    <t>Voltage</t>
  </si>
  <si>
    <t>Phasor</t>
  </si>
  <si>
    <t>Startpoint</t>
  </si>
  <si>
    <t>Endpoint</t>
  </si>
  <si>
    <t>Algebra:</t>
  </si>
  <si>
    <t>Meshed Lines Scenario</t>
  </si>
  <si>
    <t>sign</t>
  </si>
  <si>
    <t>sign, /Ux/</t>
  </si>
  <si>
    <t>0 = off</t>
  </si>
  <si>
    <t>UPFC</t>
  </si>
  <si>
    <t>1 = on</t>
  </si>
  <si>
    <t>Phase angle</t>
  </si>
  <si>
    <t>Line 1</t>
  </si>
  <si>
    <t>Line 2</t>
  </si>
  <si>
    <t>cos(φ)</t>
  </si>
  <si>
    <t>operation</t>
  </si>
  <si>
    <t>Load:</t>
  </si>
  <si>
    <t>No of lines</t>
  </si>
  <si>
    <t>Load per line</t>
  </si>
  <si>
    <t>Assumptions:</t>
  </si>
  <si>
    <t>Attention: single phase calculation (1/3 of power)</t>
  </si>
  <si>
    <t>Total load</t>
  </si>
  <si>
    <t>Utilization</t>
  </si>
  <si>
    <t>Imax</t>
  </si>
  <si>
    <t>Transmission lines</t>
  </si>
  <si>
    <t>length (km)</t>
  </si>
  <si>
    <t>Voltage (kV)</t>
  </si>
  <si>
    <t>S (MVA)</t>
  </si>
  <si>
    <t>I (kA)</t>
  </si>
  <si>
    <t>number of wires</t>
  </si>
  <si>
    <t>wire radius (mm)</t>
  </si>
  <si>
    <t>cross section (mm^2)</t>
  </si>
  <si>
    <t>current density (A/mm^2)</t>
  </si>
  <si>
    <t>R' (Ohm/km)</t>
  </si>
  <si>
    <t>X' (Ohm/km)</t>
  </si>
  <si>
    <t>C' (nF/km)</t>
  </si>
  <si>
    <t>RW (Ohm)</t>
  </si>
  <si>
    <t>Pn (MW)</t>
  </si>
  <si>
    <t>R (Ohm)</t>
  </si>
  <si>
    <t>X (Ohm)</t>
  </si>
  <si>
    <t>C (uF)</t>
  </si>
  <si>
    <t>U=</t>
  </si>
  <si>
    <t>kV</t>
  </si>
  <si>
    <t>MVA</t>
  </si>
  <si>
    <t>MW</t>
  </si>
  <si>
    <t>P (MW)</t>
  </si>
  <si>
    <t>Q (MVar)</t>
  </si>
  <si>
    <t>X/R=</t>
  </si>
  <si>
    <t>ϑ=</t>
  </si>
  <si>
    <t>cos ϑ =</t>
  </si>
  <si>
    <t>φU2,0 =</t>
  </si>
  <si>
    <t>Station:</t>
  </si>
  <si>
    <t>MW (3phase)</t>
  </si>
  <si>
    <t>Autopilot</t>
  </si>
  <si>
    <t>(1)</t>
  </si>
  <si>
    <t>(2)</t>
  </si>
  <si>
    <t>insert into (3)</t>
  </si>
  <si>
    <t>(3)</t>
  </si>
  <si>
    <t>(4)</t>
  </si>
  <si>
    <t>ZL1=</t>
  </si>
  <si>
    <t>ZL2=</t>
  </si>
  <si>
    <t>UL2= I ((ZL1 ZL2/(ZL1+ZL2)) + Ux (ZL2/(ZL1+ZL2))</t>
  </si>
  <si>
    <t>UL2=</t>
  </si>
  <si>
    <t>(ZL1 ZL2/(ZL1+ZL2))=</t>
  </si>
  <si>
    <t>(ZL2/(ZL1+ZL2))=</t>
  </si>
  <si>
    <t>I2=</t>
  </si>
  <si>
    <t>/ZL1/=</t>
  </si>
  <si>
    <t>/ZL2/=</t>
  </si>
  <si>
    <t>Solving the equation:</t>
  </si>
  <si>
    <t xml:space="preserve"> Phasor diagram</t>
  </si>
  <si>
    <t>Line Impedances</t>
  </si>
  <si>
    <t>Summary</t>
  </si>
  <si>
    <t>phiZL1=</t>
  </si>
  <si>
    <t>phiZL2=</t>
  </si>
  <si>
    <t>3 = PST</t>
  </si>
  <si>
    <t>4 = manual</t>
  </si>
  <si>
    <t>2 = reactive</t>
  </si>
  <si>
    <t>mode 1</t>
  </si>
  <si>
    <t>mode 2</t>
  </si>
  <si>
    <t>mode 3</t>
  </si>
  <si>
    <t xml:space="preserve"> mode</t>
  </si>
  <si>
    <r>
      <t>U</t>
    </r>
    <r>
      <rPr>
        <vertAlign val="sub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  <charset val="1"/>
      </rPr>
      <t xml:space="preserve"> (pu)</t>
    </r>
  </si>
  <si>
    <r>
      <t>U</t>
    </r>
    <r>
      <rPr>
        <vertAlign val="sub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  <charset val="1"/>
      </rPr>
      <t>(pu)</t>
    </r>
  </si>
  <si>
    <t>Power offset</t>
  </si>
  <si>
    <t>Re (Ω)</t>
  </si>
  <si>
    <t>Im (Ω)</t>
  </si>
  <si>
    <t>/Z/ (Ω)</t>
  </si>
  <si>
    <r>
      <t>φ</t>
    </r>
    <r>
      <rPr>
        <vertAlign val="subscript"/>
        <sz val="12"/>
        <color rgb="FF000000"/>
        <rFont val="Calibri"/>
        <family val="2"/>
      </rPr>
      <t>Z (Grad)</t>
    </r>
  </si>
  <si>
    <t>UL1=</t>
  </si>
  <si>
    <t>Z'L2=UL1/I2</t>
  </si>
  <si>
    <r>
      <rPr>
        <u/>
        <sz val="12"/>
        <color rgb="FF000000"/>
        <rFont val="Calibri"/>
        <family val="2"/>
      </rPr>
      <t>Z</t>
    </r>
    <r>
      <rPr>
        <vertAlign val="subscript"/>
        <sz val="12"/>
        <color rgb="FF000000"/>
        <rFont val="Calibri"/>
        <family val="2"/>
      </rPr>
      <t>L1</t>
    </r>
  </si>
  <si>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"/>
      </rPr>
      <t>'</t>
    </r>
    <r>
      <rPr>
        <vertAlign val="subscript"/>
        <sz val="12"/>
        <color rgb="FF000000"/>
        <rFont val="Calibri"/>
        <family val="2"/>
      </rPr>
      <t>L2</t>
    </r>
  </si>
  <si>
    <t>Q (Mvar)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</si>
</sst>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0.000000"/>
  </numFmts>
  <fonts count="8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00B050"/>
      <name val="Calibri"/>
      <family val="2"/>
    </font>
    <font>
      <sz val="12"/>
      <color rgb="FF000000"/>
      <name val="Calibri"/>
      <family val="2"/>
    </font>
    <font>
      <vertAlign val="subscript"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rgb="FFEEEC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CE1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5" xfId="0" applyBorder="1"/>
    <xf numFmtId="164" fontId="0" fillId="0" borderId="11" xfId="0" applyNumberFormat="1" applyBorder="1" applyAlignment="1">
      <alignment horizontal="center"/>
    </xf>
    <xf numFmtId="0" fontId="0" fillId="0" borderId="15" xfId="0" applyBorder="1"/>
    <xf numFmtId="0" fontId="1" fillId="0" borderId="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2" fontId="0" fillId="0" borderId="20" xfId="0" applyNumberFormat="1" applyBorder="1" applyAlignment="1">
      <alignment horizontal="center" vertical="top"/>
    </xf>
    <xf numFmtId="2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164" fontId="0" fillId="0" borderId="2" xfId="0" applyNumberFormat="1" applyBorder="1"/>
    <xf numFmtId="164" fontId="0" fillId="0" borderId="8" xfId="0" applyNumberFormat="1" applyBorder="1"/>
    <xf numFmtId="0" fontId="0" fillId="0" borderId="0" xfId="0" applyAlignment="1">
      <alignment horizontal="left" vertical="top"/>
    </xf>
    <xf numFmtId="0" fontId="3" fillId="0" borderId="6" xfId="0" applyFont="1" applyBorder="1" applyAlignment="1">
      <alignment horizontal="center"/>
    </xf>
    <xf numFmtId="1" fontId="0" fillId="2" borderId="0" xfId="0" applyNumberFormat="1" applyFill="1"/>
    <xf numFmtId="164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9" fontId="1" fillId="3" borderId="2" xfId="0" applyNumberFormat="1" applyFont="1" applyFill="1" applyBorder="1" applyAlignment="1">
      <alignment horizontal="center"/>
    </xf>
    <xf numFmtId="9" fontId="1" fillId="3" borderId="8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7" xfId="0" applyFont="1" applyFill="1" applyBorder="1"/>
    <xf numFmtId="2" fontId="0" fillId="3" borderId="4" xfId="0" applyNumberFormat="1" applyFill="1" applyBorder="1" applyAlignment="1">
      <alignment horizontal="center" vertical="top"/>
    </xf>
    <xf numFmtId="2" fontId="0" fillId="3" borderId="9" xfId="0" applyNumberFormat="1" applyFill="1" applyBorder="1" applyAlignment="1">
      <alignment horizontal="center" vertical="top"/>
    </xf>
    <xf numFmtId="166" fontId="1" fillId="0" borderId="22" xfId="0" applyNumberFormat="1" applyFont="1" applyBorder="1" applyAlignment="1">
      <alignment horizontal="center" vertical="top"/>
    </xf>
    <xf numFmtId="2" fontId="1" fillId="0" borderId="23" xfId="0" applyNumberFormat="1" applyFont="1" applyBorder="1" applyAlignment="1">
      <alignment horizontal="center" vertical="top"/>
    </xf>
    <xf numFmtId="164" fontId="0" fillId="0" borderId="22" xfId="0" applyNumberFormat="1" applyBorder="1"/>
    <xf numFmtId="2" fontId="0" fillId="5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 vertical="top"/>
    </xf>
    <xf numFmtId="2" fontId="0" fillId="5" borderId="4" xfId="0" applyNumberFormat="1" applyFill="1" applyBorder="1" applyAlignment="1">
      <alignment horizontal="center" vertical="top"/>
    </xf>
    <xf numFmtId="0" fontId="0" fillId="5" borderId="8" xfId="0" applyFill="1" applyBorder="1" applyAlignment="1">
      <alignment horizontal="left"/>
    </xf>
    <xf numFmtId="2" fontId="0" fillId="5" borderId="8" xfId="0" applyNumberFormat="1" applyFill="1" applyBorder="1" applyAlignment="1">
      <alignment horizontal="center" vertical="top"/>
    </xf>
    <xf numFmtId="0" fontId="0" fillId="5" borderId="9" xfId="0" applyFill="1" applyBorder="1"/>
    <xf numFmtId="0" fontId="0" fillId="5" borderId="1" xfId="0" applyFill="1" applyBorder="1" applyAlignment="1">
      <alignment horizontal="left"/>
    </xf>
    <xf numFmtId="164" fontId="0" fillId="5" borderId="7" xfId="0" applyNumberFormat="1" applyFill="1" applyBorder="1" applyAlignment="1">
      <alignment horizontal="left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0" fillId="2" borderId="24" xfId="0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0" xfId="0" applyFill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164" fontId="0" fillId="8" borderId="23" xfId="0" applyNumberFormat="1" applyFill="1" applyBorder="1"/>
    <xf numFmtId="164" fontId="0" fillId="0" borderId="23" xfId="0" applyNumberFormat="1" applyBorder="1"/>
    <xf numFmtId="0" fontId="0" fillId="7" borderId="7" xfId="0" applyFill="1" applyBorder="1" applyAlignment="1">
      <alignment horizontal="center" vertical="top"/>
    </xf>
    <xf numFmtId="0" fontId="0" fillId="7" borderId="8" xfId="0" applyFill="1" applyBorder="1" applyAlignment="1">
      <alignment horizontal="center" vertical="top"/>
    </xf>
    <xf numFmtId="0" fontId="0" fillId="9" borderId="4" xfId="0" applyFill="1" applyBorder="1"/>
    <xf numFmtId="0" fontId="0" fillId="9" borderId="9" xfId="0" applyFill="1" applyBorder="1"/>
    <xf numFmtId="0" fontId="0" fillId="7" borderId="0" xfId="0" applyFill="1"/>
    <xf numFmtId="0" fontId="0" fillId="7" borderId="8" xfId="0" applyFill="1" applyBorder="1"/>
    <xf numFmtId="164" fontId="0" fillId="10" borderId="9" xfId="0" applyNumberForma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8" xfId="0" applyBorder="1"/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2" borderId="0" xfId="0" applyFill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2" borderId="0" xfId="0" applyFill="1"/>
    <xf numFmtId="0" fontId="0" fillId="2" borderId="21" xfId="0" applyFill="1" applyBorder="1" applyAlignment="1">
      <alignment horizontal="center" vertical="top"/>
    </xf>
    <xf numFmtId="0" fontId="0" fillId="2" borderId="23" xfId="0" applyFill="1" applyBorder="1" applyAlignment="1">
      <alignment horizontal="center"/>
    </xf>
    <xf numFmtId="2" fontId="0" fillId="6" borderId="27" xfId="0" applyNumberFormat="1" applyFill="1" applyBorder="1" applyAlignment="1">
      <alignment horizontal="center" vertical="top"/>
    </xf>
    <xf numFmtId="2" fontId="0" fillId="6" borderId="28" xfId="0" applyNumberFormat="1" applyFill="1" applyBorder="1" applyAlignment="1">
      <alignment horizontal="center" vertical="top"/>
    </xf>
    <xf numFmtId="0" fontId="0" fillId="6" borderId="29" xfId="0" applyFill="1" applyBorder="1" applyAlignment="1">
      <alignment horizontal="center" vertical="top"/>
    </xf>
    <xf numFmtId="0" fontId="0" fillId="6" borderId="10" xfId="0" applyFill="1" applyBorder="1" applyAlignment="1">
      <alignment horizontal="center" vertical="top"/>
    </xf>
    <xf numFmtId="0" fontId="0" fillId="6" borderId="2" xfId="0" applyFill="1" applyBorder="1" applyAlignment="1">
      <alignment horizontal="center" vertical="top"/>
    </xf>
    <xf numFmtId="0" fontId="0" fillId="6" borderId="4" xfId="0" applyFill="1" applyBorder="1" applyAlignment="1">
      <alignment horizontal="center" vertical="top"/>
    </xf>
    <xf numFmtId="2" fontId="0" fillId="6" borderId="0" xfId="0" applyNumberFormat="1" applyFill="1" applyAlignment="1">
      <alignment horizontal="center" vertical="top"/>
    </xf>
    <xf numFmtId="2" fontId="0" fillId="6" borderId="6" xfId="0" applyNumberForma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9" fontId="1" fillId="6" borderId="7" xfId="0" applyNumberFormat="1" applyFont="1" applyFill="1" applyBorder="1" applyAlignment="1">
      <alignment horizontal="center"/>
    </xf>
    <xf numFmtId="2" fontId="0" fillId="6" borderId="30" xfId="0" applyNumberFormat="1" applyFill="1" applyBorder="1" applyAlignment="1">
      <alignment horizontal="center" vertical="top"/>
    </xf>
    <xf numFmtId="2" fontId="0" fillId="6" borderId="12" xfId="0" applyNumberFormat="1" applyFill="1" applyBorder="1" applyAlignment="1">
      <alignment horizontal="center" vertical="top"/>
    </xf>
    <xf numFmtId="2" fontId="0" fillId="6" borderId="8" xfId="0" applyNumberFormat="1" applyFill="1" applyBorder="1" applyAlignment="1">
      <alignment horizontal="center" vertical="top"/>
    </xf>
    <xf numFmtId="2" fontId="0" fillId="6" borderId="9" xfId="0" applyNumberFormat="1" applyFill="1" applyBorder="1" applyAlignment="1">
      <alignment horizontal="center" vertical="top"/>
    </xf>
    <xf numFmtId="164" fontId="0" fillId="0" borderId="0" xfId="0" applyNumberFormat="1" applyAlignment="1">
      <alignment horizontal="left" vertical="top"/>
    </xf>
    <xf numFmtId="0" fontId="0" fillId="0" borderId="25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1" xfId="0" applyBorder="1"/>
    <xf numFmtId="0" fontId="0" fillId="0" borderId="26" xfId="0" applyBorder="1"/>
    <xf numFmtId="0" fontId="0" fillId="0" borderId="32" xfId="0" applyBorder="1" applyAlignment="1">
      <alignment horizontal="center"/>
    </xf>
    <xf numFmtId="0" fontId="0" fillId="0" borderId="11" xfId="0" applyBorder="1"/>
    <xf numFmtId="0" fontId="0" fillId="0" borderId="27" xfId="0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0" borderId="33" xfId="0" applyBorder="1"/>
    <xf numFmtId="0" fontId="0" fillId="0" borderId="28" xfId="0" applyBorder="1"/>
    <xf numFmtId="0" fontId="0" fillId="0" borderId="34" xfId="0" applyBorder="1" applyAlignment="1">
      <alignment horizontal="center"/>
    </xf>
    <xf numFmtId="0" fontId="0" fillId="3" borderId="0" xfId="0" applyFill="1"/>
    <xf numFmtId="164" fontId="0" fillId="3" borderId="2" xfId="0" applyNumberFormat="1" applyFill="1" applyBorder="1"/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2" xfId="0" applyNumberFormat="1" applyBorder="1" applyAlignment="1">
      <alignment horizontal="center" vertical="top"/>
    </xf>
    <xf numFmtId="2" fontId="0" fillId="0" borderId="23" xfId="0" applyNumberFormat="1" applyBorder="1" applyAlignment="1">
      <alignment horizontal="center" vertical="top"/>
    </xf>
    <xf numFmtId="2" fontId="0" fillId="3" borderId="8" xfId="0" applyNumberFormat="1" applyFill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0" fillId="0" borderId="8" xfId="0" quotePrefix="1" applyBorder="1"/>
    <xf numFmtId="164" fontId="0" fillId="12" borderId="0" xfId="0" applyNumberFormat="1" applyFill="1" applyAlignment="1">
      <alignment horizontal="center" vertical="top"/>
    </xf>
    <xf numFmtId="0" fontId="0" fillId="12" borderId="7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12" borderId="1" xfId="0" applyNumberFormat="1" applyFill="1" applyBorder="1" applyAlignment="1">
      <alignment horizontal="left" vertical="top"/>
    </xf>
    <xf numFmtId="2" fontId="0" fillId="0" borderId="2" xfId="0" applyNumberFormat="1" applyBorder="1" applyAlignment="1">
      <alignment horizontal="center" vertical="top"/>
    </xf>
    <xf numFmtId="2" fontId="0" fillId="0" borderId="2" xfId="0" applyNumberFormat="1" applyBorder="1"/>
    <xf numFmtId="0" fontId="0" fillId="0" borderId="2" xfId="0" applyBorder="1" applyAlignment="1">
      <alignment horizontal="left" vertical="top"/>
    </xf>
    <xf numFmtId="2" fontId="0" fillId="0" borderId="2" xfId="0" applyNumberFormat="1" applyBorder="1" applyAlignment="1">
      <alignment horizontal="left"/>
    </xf>
    <xf numFmtId="2" fontId="0" fillId="12" borderId="5" xfId="0" applyNumberFormat="1" applyFill="1" applyBorder="1" applyAlignment="1">
      <alignment horizontal="left" vertical="top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7" borderId="5" xfId="0" applyNumberFormat="1" applyFill="1" applyBorder="1" applyAlignment="1">
      <alignment horizontal="left" vertical="top"/>
    </xf>
    <xf numFmtId="2" fontId="0" fillId="7" borderId="7" xfId="0" applyNumberFormat="1" applyFill="1" applyBorder="1" applyAlignment="1">
      <alignment horizontal="left" vertical="top"/>
    </xf>
    <xf numFmtId="0" fontId="0" fillId="0" borderId="23" xfId="0" applyBorder="1"/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left" vertical="top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0" borderId="6" xfId="0" applyNumberFormat="1" applyBorder="1"/>
    <xf numFmtId="0" fontId="0" fillId="12" borderId="5" xfId="0" applyFill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165" fontId="0" fillId="0" borderId="5" xfId="0" applyNumberFormat="1" applyBorder="1" applyAlignment="1">
      <alignment horizontal="right"/>
    </xf>
    <xf numFmtId="0" fontId="0" fillId="11" borderId="0" xfId="0" applyFill="1" applyAlignment="1">
      <alignment horizontal="center"/>
    </xf>
    <xf numFmtId="164" fontId="0" fillId="11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164" fontId="0" fillId="13" borderId="0" xfId="0" applyNumberFormat="1" applyFill="1" applyAlignment="1">
      <alignment horizontal="center"/>
    </xf>
    <xf numFmtId="0" fontId="0" fillId="0" borderId="5" xfId="0" applyBorder="1" applyAlignment="1">
      <alignment horizontal="right"/>
    </xf>
    <xf numFmtId="0" fontId="0" fillId="12" borderId="6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7" xfId="0" applyBorder="1" applyAlignment="1">
      <alignment horizontal="right"/>
    </xf>
    <xf numFmtId="1" fontId="0" fillId="8" borderId="21" xfId="0" applyNumberFormat="1" applyFill="1" applyBorder="1"/>
    <xf numFmtId="167" fontId="0" fillId="6" borderId="0" xfId="0" applyNumberFormat="1" applyFill="1"/>
    <xf numFmtId="164" fontId="0" fillId="0" borderId="0" xfId="0" applyNumberFormat="1" applyAlignment="1">
      <alignment horizontal="right" vertical="top"/>
    </xf>
    <xf numFmtId="0" fontId="1" fillId="0" borderId="0" xfId="0" applyFont="1" applyAlignment="1">
      <alignment horizontal="center"/>
    </xf>
    <xf numFmtId="1" fontId="0" fillId="10" borderId="7" xfId="0" applyNumberForma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14" borderId="23" xfId="0" applyNumberFormat="1" applyFill="1" applyBorder="1"/>
    <xf numFmtId="1" fontId="0" fillId="14" borderId="21" xfId="0" applyNumberFormat="1" applyFill="1" applyBorder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9" fontId="0" fillId="10" borderId="35" xfId="0" applyNumberFormat="1" applyFill="1" applyBorder="1" applyAlignment="1">
      <alignment horizontal="center"/>
    </xf>
    <xf numFmtId="166" fontId="0" fillId="10" borderId="35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 vertical="top"/>
    </xf>
    <xf numFmtId="2" fontId="3" fillId="0" borderId="22" xfId="0" applyNumberFormat="1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164" fontId="0" fillId="0" borderId="23" xfId="0" applyNumberFormat="1" applyBorder="1" applyAlignment="1">
      <alignment horizontal="center" vertical="top"/>
    </xf>
    <xf numFmtId="164" fontId="0" fillId="0" borderId="22" xfId="0" applyNumberFormat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1" fontId="0" fillId="0" borderId="22" xfId="0" applyNumberFormat="1" applyBorder="1" applyAlignment="1">
      <alignment horizontal="center" vertical="top"/>
    </xf>
    <xf numFmtId="1" fontId="0" fillId="0" borderId="23" xfId="0" applyNumberForma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vertical="top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A7EBB"/>
      <rgbColor rgb="FFE6B9B8"/>
      <rgbColor rgb="FF878787"/>
      <rgbColor rgb="FF8EA5CA"/>
      <rgbColor rgb="FFAA433F"/>
      <rgbColor rgb="FFEBF1DE"/>
      <rgbColor rgb="FFDBEEF4"/>
      <rgbColor rgb="FF660066"/>
      <rgbColor rgb="FFDB8238"/>
      <rgbColor rgb="FF426FA6"/>
      <rgbColor rgb="FFA4C1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CE1"/>
      <rgbColor rgb="FFCCFFCC"/>
      <rgbColor rgb="FFFDEADA"/>
      <rgbColor rgb="FF99CCFF"/>
      <rgbColor rgb="FFFFA7A4"/>
      <rgbColor rgb="FFCC99FF"/>
      <rgbColor rgb="FFF2DCDB"/>
      <rgbColor rgb="FF3E7FCC"/>
      <rgbColor rgb="FF46AAC4"/>
      <rgbColor rgb="FF98B855"/>
      <rgbColor rgb="FFFFCC00"/>
      <rgbColor rgb="FFF59240"/>
      <rgbColor rgb="FFFF6600"/>
      <rgbColor rgb="FF6F568D"/>
      <rgbColor rgb="FF87A44B"/>
      <rgbColor rgb="FF003366"/>
      <rgbColor rgb="FF3D97AF"/>
      <rgbColor rgb="FF003300"/>
      <rgbColor rgb="FF333300"/>
      <rgbColor rgb="FFD03F3B"/>
      <rgbColor rgb="FFBE4B48"/>
      <rgbColor rgb="FF7D5FA0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604534005038E-2"/>
          <c:y val="2.8456847772345199E-2"/>
          <c:w val="0.80050377833753095"/>
          <c:h val="0.86771411305828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Computer!$I$9</c:f>
              <c:strCache>
                <c:ptCount val="1"/>
                <c:pt idx="0">
                  <c:v>U1</c:v>
                </c:pt>
              </c:strCache>
            </c:strRef>
          </c:tx>
          <c:spPr>
            <a:ln>
              <a:tailEnd type="arrow"/>
            </a:ln>
          </c:spPr>
          <c:xVal>
            <c:numRef>
              <c:f>Computer!$M$9:$N$9</c:f>
              <c:numCache>
                <c:formatCode>0.0</c:formatCode>
                <c:ptCount val="2"/>
                <c:pt idx="0">
                  <c:v>0</c:v>
                </c:pt>
                <c:pt idx="1">
                  <c:v>127017.05922171767</c:v>
                </c:pt>
              </c:numCache>
            </c:numRef>
          </c:xVal>
          <c:yVal>
            <c:numRef>
              <c:f>Computer!$O$9:$P$9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2A-4554-BB15-E2AB48A40431}"/>
            </c:ext>
          </c:extLst>
        </c:ser>
        <c:ser>
          <c:idx val="1"/>
          <c:order val="1"/>
          <c:tx>
            <c:strRef>
              <c:f>Computer!$I$7</c:f>
              <c:strCache>
                <c:ptCount val="1"/>
                <c:pt idx="0">
                  <c:v>Ux</c:v>
                </c:pt>
              </c:strCache>
            </c:strRef>
          </c:tx>
          <c:spPr>
            <a:ln>
              <a:tailEnd type="arrow"/>
            </a:ln>
          </c:spPr>
          <c:xVal>
            <c:numRef>
              <c:f>Computer!$M$7:$N$7</c:f>
              <c:numCache>
                <c:formatCode>0.0</c:formatCode>
                <c:ptCount val="2"/>
                <c:pt idx="0">
                  <c:v>127017.05922171767</c:v>
                </c:pt>
                <c:pt idx="1">
                  <c:v>127017.05922171767</c:v>
                </c:pt>
              </c:numCache>
            </c:numRef>
          </c:xVal>
          <c:yVal>
            <c:numRef>
              <c:f>Computer!$O$7:$P$7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2A-4554-BB15-E2AB48A40431}"/>
            </c:ext>
          </c:extLst>
        </c:ser>
        <c:ser>
          <c:idx val="3"/>
          <c:order val="2"/>
          <c:tx>
            <c:strRef>
              <c:f>Computer!$I$6</c:f>
              <c:strCache>
                <c:ptCount val="1"/>
                <c:pt idx="0">
                  <c:v>U1'</c:v>
                </c:pt>
              </c:strCache>
            </c:strRef>
          </c:tx>
          <c:spPr>
            <a:ln>
              <a:tailEnd type="arrow"/>
            </a:ln>
          </c:spPr>
          <c:xVal>
            <c:numRef>
              <c:f>Computer!$M$6:$N$6</c:f>
              <c:numCache>
                <c:formatCode>0.0</c:formatCode>
                <c:ptCount val="2"/>
                <c:pt idx="0">
                  <c:v>0</c:v>
                </c:pt>
                <c:pt idx="1">
                  <c:v>127017.05922171767</c:v>
                </c:pt>
              </c:numCache>
            </c:numRef>
          </c:xVal>
          <c:yVal>
            <c:numRef>
              <c:f>Computer!$O$6:$P$6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2A-4554-BB15-E2AB48A40431}"/>
            </c:ext>
          </c:extLst>
        </c:ser>
        <c:ser>
          <c:idx val="4"/>
          <c:order val="3"/>
          <c:tx>
            <c:strRef>
              <c:f>Computer!$I$4</c:f>
              <c:strCache>
                <c:ptCount val="1"/>
                <c:pt idx="0">
                  <c:v>UL2</c:v>
                </c:pt>
              </c:strCache>
            </c:strRef>
          </c:tx>
          <c:spPr>
            <a:ln>
              <a:tailEnd type="arrow"/>
            </a:ln>
          </c:spPr>
          <c:xVal>
            <c:numRef>
              <c:f>Computer!$M$4:$N$4</c:f>
              <c:numCache>
                <c:formatCode>0.0</c:formatCode>
                <c:ptCount val="2"/>
                <c:pt idx="0">
                  <c:v>127017.05922171767</c:v>
                </c:pt>
                <c:pt idx="1">
                  <c:v>108340.39010979407</c:v>
                </c:pt>
              </c:numCache>
            </c:numRef>
          </c:xVal>
          <c:yVal>
            <c:numRef>
              <c:f>Computer!$O$4:$P$4</c:f>
              <c:numCache>
                <c:formatCode>0.0</c:formatCode>
                <c:ptCount val="2"/>
                <c:pt idx="0">
                  <c:v>0</c:v>
                </c:pt>
                <c:pt idx="1">
                  <c:v>-21364.211445621899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2A-4554-BB15-E2AB48A40431}"/>
            </c:ext>
          </c:extLst>
        </c:ser>
        <c:ser>
          <c:idx val="5"/>
          <c:order val="4"/>
          <c:tx>
            <c:strRef>
              <c:f>Computer!$I$8</c:f>
              <c:strCache>
                <c:ptCount val="1"/>
                <c:pt idx="0">
                  <c:v>U2</c:v>
                </c:pt>
              </c:strCache>
            </c:strRef>
          </c:tx>
          <c:spPr>
            <a:ln>
              <a:tailEnd type="arrow"/>
            </a:ln>
          </c:spPr>
          <c:xVal>
            <c:numRef>
              <c:f>Computer!$M$8:$N$8</c:f>
              <c:numCache>
                <c:formatCode>0.0</c:formatCode>
                <c:ptCount val="2"/>
                <c:pt idx="0">
                  <c:v>0</c:v>
                </c:pt>
                <c:pt idx="1">
                  <c:v>108340.39010979407</c:v>
                </c:pt>
              </c:numCache>
            </c:numRef>
          </c:xVal>
          <c:yVal>
            <c:numRef>
              <c:f>Computer!$O$8:$P$8</c:f>
              <c:numCache>
                <c:formatCode>0.0</c:formatCode>
                <c:ptCount val="2"/>
                <c:pt idx="0">
                  <c:v>0</c:v>
                </c:pt>
                <c:pt idx="1">
                  <c:v>-21364.211445621899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2A-4554-BB15-E2AB48A40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541368"/>
        <c:axId val="2076463416"/>
        <c:extLst/>
      </c:scatterChart>
      <c:valAx>
        <c:axId val="2076541368"/>
        <c:scaling>
          <c:orientation val="minMax"/>
          <c:max val="140000"/>
          <c:min val="-140000"/>
        </c:scaling>
        <c:delete val="0"/>
        <c:axPos val="b"/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  <a:tailEnd type="none"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076463416"/>
        <c:crosses val="autoZero"/>
        <c:crossBetween val="midCat"/>
        <c:majorUnit val="50000"/>
        <c:minorUnit val="20000"/>
      </c:valAx>
      <c:valAx>
        <c:axId val="2076463416"/>
        <c:scaling>
          <c:orientation val="minMax"/>
          <c:max val="140000"/>
          <c:min val="-14000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076541368"/>
        <c:crosses val="autoZero"/>
        <c:crossBetween val="midCat"/>
        <c:majorUnit val="25000"/>
        <c:minorUnit val="12300"/>
      </c:val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4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153652392947099E-2"/>
          <c:y val="2.4548656979304299E-2"/>
          <c:w val="0.80050377833753095"/>
          <c:h val="0.867734478203434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Computer!$I$16</c:f>
              <c:strCache>
                <c:ptCount val="1"/>
                <c:pt idx="0">
                  <c:v>I1</c:v>
                </c:pt>
              </c:strCache>
            </c:strRef>
          </c:tx>
          <c:spPr>
            <a:ln w="22320">
              <a:solidFill>
                <a:srgbClr val="7D5FA0"/>
              </a:solidFill>
              <a:round/>
              <a:tailEnd type="arrow"/>
            </a:ln>
          </c:spPr>
          <c:marker>
            <c:symbol val="square"/>
            <c:size val="5"/>
            <c:spPr>
              <a:solidFill>
                <a:srgbClr val="7D5FA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Computer!$M$16:$N$16</c:f>
              <c:numCache>
                <c:formatCode>0.0</c:formatCode>
                <c:ptCount val="2"/>
                <c:pt idx="0">
                  <c:v>0</c:v>
                </c:pt>
                <c:pt idx="1">
                  <c:v>1157.6401994158944</c:v>
                </c:pt>
              </c:numCache>
            </c:numRef>
          </c:xVal>
          <c:yVal>
            <c:numRef>
              <c:f>Computer!$O$16:$P$16</c:f>
              <c:numCache>
                <c:formatCode>0.0</c:formatCode>
                <c:ptCount val="2"/>
                <c:pt idx="0">
                  <c:v>0</c:v>
                </c:pt>
                <c:pt idx="1">
                  <c:v>-673.62399559026653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6F-4599-A6FD-6A7410F9D310}"/>
            </c:ext>
          </c:extLst>
        </c:ser>
        <c:ser>
          <c:idx val="1"/>
          <c:order val="1"/>
          <c:tx>
            <c:strRef>
              <c:f>Computer!$I$20</c:f>
              <c:strCache>
                <c:ptCount val="1"/>
                <c:pt idx="0">
                  <c:v>I2</c:v>
                </c:pt>
              </c:strCache>
            </c:strRef>
          </c:tx>
          <c:spPr>
            <a:ln>
              <a:tailEnd type="arrow"/>
            </a:ln>
          </c:spPr>
          <c:xVal>
            <c:numRef>
              <c:f>Computer!$M$17:$N$17</c:f>
              <c:numCache>
                <c:formatCode>0.0</c:formatCode>
                <c:ptCount val="2"/>
                <c:pt idx="0">
                  <c:v>1157.6401994158944</c:v>
                </c:pt>
                <c:pt idx="1">
                  <c:v>1910.1063290362274</c:v>
                </c:pt>
              </c:numCache>
            </c:numRef>
          </c:xVal>
          <c:yVal>
            <c:numRef>
              <c:f>Computer!$O$17:$P$17</c:f>
              <c:numCache>
                <c:formatCode>0.0</c:formatCode>
                <c:ptCount val="2"/>
                <c:pt idx="0">
                  <c:v>-673.62399559026653</c:v>
                </c:pt>
                <c:pt idx="1">
                  <c:v>-1111.4795927239395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6F-4599-A6FD-6A7410F9D310}"/>
            </c:ext>
          </c:extLst>
        </c:ser>
        <c:ser>
          <c:idx val="2"/>
          <c:order val="2"/>
          <c:tx>
            <c:strRef>
              <c:f>Computer!$R$9</c:f>
              <c:strCache>
                <c:ptCount val="1"/>
                <c:pt idx="0">
                  <c:v>I=</c:v>
                </c:pt>
              </c:strCache>
            </c:strRef>
          </c:tx>
          <c:spPr>
            <a:ln>
              <a:tailEnd type="arrow"/>
            </a:ln>
          </c:spPr>
          <c:dPt>
            <c:idx val="1"/>
            <c:bubble3D val="0"/>
            <c:spPr>
              <a:ln>
                <a:headEnd type="arrow"/>
                <a:tailEnd type="arrow"/>
              </a:ln>
            </c:spPr>
            <c:extLst>
              <c:ext xmlns:c16="http://schemas.microsoft.com/office/drawing/2014/chart" uri="{C3380CC4-5D6E-409C-BE32-E72D297353CC}">
                <c16:uniqueId val="{00000003-C86F-4599-A6FD-6A7410F9D310}"/>
              </c:ext>
            </c:extLst>
          </c:dPt>
          <c:xVal>
            <c:numRef>
              <c:f>Computer!$M$18:$N$18</c:f>
              <c:numCache>
                <c:formatCode>0.0</c:formatCode>
                <c:ptCount val="2"/>
                <c:pt idx="0">
                  <c:v>0</c:v>
                </c:pt>
                <c:pt idx="1">
                  <c:v>1910.1063290362274</c:v>
                </c:pt>
              </c:numCache>
            </c:numRef>
          </c:xVal>
          <c:yVal>
            <c:numRef>
              <c:f>Computer!$O$18:$P$18</c:f>
              <c:numCache>
                <c:formatCode>0.0</c:formatCode>
                <c:ptCount val="2"/>
                <c:pt idx="0">
                  <c:v>0</c:v>
                </c:pt>
                <c:pt idx="1">
                  <c:v>-1111.4795927239395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6F-4599-A6FD-6A7410F9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103800"/>
        <c:axId val="2055107192"/>
      </c:scatterChart>
      <c:valAx>
        <c:axId val="2055103800"/>
        <c:scaling>
          <c:orientation val="minMax"/>
          <c:max val="2300"/>
          <c:min val="-2300"/>
        </c:scaling>
        <c:delete val="0"/>
        <c:axPos val="b"/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055107192"/>
        <c:crosses val="autoZero"/>
        <c:crossBetween val="midCat"/>
      </c:valAx>
      <c:valAx>
        <c:axId val="2055107192"/>
        <c:scaling>
          <c:orientation val="minMax"/>
          <c:max val="2300"/>
          <c:min val="-230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055103800"/>
        <c:crosses val="autoZero"/>
        <c:crossBetween val="midCat"/>
      </c:valAx>
      <c:spPr>
        <a:solidFill>
          <a:srgbClr val="FFFFFF"/>
        </a:solidFill>
        <a:ln w="19080">
          <a:solidFill>
            <a:srgbClr val="FF0000"/>
          </a:solidFill>
          <a:round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4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828538</xdr:colOff>
      <xdr:row>1</xdr:row>
      <xdr:rowOff>10160</xdr:rowOff>
    </xdr:from>
    <xdr:to>
      <xdr:col>11</xdr:col>
      <xdr:colOff>46296</xdr:colOff>
      <xdr:row>8</xdr:row>
      <xdr:rowOff>185090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8858" y="213360"/>
          <a:ext cx="5166438" cy="1597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23</xdr:row>
      <xdr:rowOff>54427</xdr:rowOff>
    </xdr:from>
    <xdr:to>
      <xdr:col>6</xdr:col>
      <xdr:colOff>529773</xdr:colOff>
      <xdr:row>48</xdr:row>
      <xdr:rowOff>155482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10885</xdr:colOff>
      <xdr:row>23</xdr:row>
      <xdr:rowOff>87085</xdr:rowOff>
    </xdr:from>
    <xdr:to>
      <xdr:col>14</xdr:col>
      <xdr:colOff>402772</xdr:colOff>
      <xdr:row>49</xdr:row>
      <xdr:rowOff>76200</xdr:rowOff>
    </xdr:to>
    <xdr:graphicFrame macro="">
      <xdr:nvGraphicFramePr>
        <xdr:cNvPr id="3" name="Diagramm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8</xdr:row>
      <xdr:rowOff>43541</xdr:rowOff>
    </xdr:from>
    <xdr:to>
      <xdr:col>6</xdr:col>
      <xdr:colOff>283725</xdr:colOff>
      <xdr:row>19</xdr:row>
      <xdr:rowOff>132080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9141"/>
          <a:ext cx="5424685" cy="23237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845820</xdr:colOff>
      <xdr:row>1</xdr:row>
      <xdr:rowOff>15240</xdr:rowOff>
    </xdr:from>
    <xdr:to>
      <xdr:col>11</xdr:col>
      <xdr:colOff>457200</xdr:colOff>
      <xdr:row>23</xdr:row>
      <xdr:rowOff>68580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59580" y="213360"/>
          <a:ext cx="5585460" cy="443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0</xdr:row>
      <xdr:rowOff>198120</xdr:rowOff>
    </xdr:from>
    <xdr:to>
      <xdr:col>11</xdr:col>
      <xdr:colOff>480060</xdr:colOff>
      <xdr:row>23</xdr:row>
      <xdr:rowOff>35560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72940" y="1584960"/>
          <a:ext cx="5585460" cy="4434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0"/>
  <sheetViews>
    <sheetView tabSelected="1" zoomScale="130" zoomScaleNormal="130" zoomScalePageLayoutView="75" workbookViewId="0">
      <selection activeCell="C3" sqref="C3"/>
    </sheetView>
  </sheetViews>
  <sheetFormatPr baseColWidth="10" defaultRowHeight="16" x14ac:dyDescent="0.2"/>
  <cols>
    <col min="1" max="1" width="1.6640625" customWidth="1"/>
    <col min="4" max="4" width="11.6640625" customWidth="1"/>
    <col min="5" max="5" width="1.6640625" customWidth="1"/>
    <col min="12" max="12" width="1.6640625" customWidth="1"/>
  </cols>
  <sheetData>
    <row r="1" spans="2:17" ht="17" thickBot="1" x14ac:dyDescent="0.25"/>
    <row r="2" spans="2:17" ht="17" thickBot="1" x14ac:dyDescent="0.25">
      <c r="B2" s="36" t="s">
        <v>58</v>
      </c>
      <c r="C2" s="70">
        <v>0</v>
      </c>
      <c r="D2" s="37" t="s">
        <v>57</v>
      </c>
      <c r="F2" s="71"/>
      <c r="G2" s="72"/>
      <c r="H2" s="72"/>
      <c r="I2" s="72"/>
      <c r="J2" s="72"/>
      <c r="K2" s="73"/>
    </row>
    <row r="3" spans="2:17" x14ac:dyDescent="0.2">
      <c r="B3" s="20"/>
      <c r="C3" s="1"/>
      <c r="D3" s="69" t="s">
        <v>59</v>
      </c>
      <c r="F3" s="74"/>
      <c r="G3" s="75"/>
      <c r="H3" s="75"/>
      <c r="I3" s="75"/>
      <c r="J3" s="75"/>
      <c r="K3" s="76"/>
      <c r="M3" s="117" t="s">
        <v>61</v>
      </c>
      <c r="N3" s="111" t="s">
        <v>94</v>
      </c>
      <c r="O3" s="112" t="s">
        <v>63</v>
      </c>
      <c r="P3" s="113" t="s">
        <v>95</v>
      </c>
      <c r="Q3" s="114" t="s">
        <v>76</v>
      </c>
    </row>
    <row r="4" spans="2:17" ht="17" thickBot="1" x14ac:dyDescent="0.25">
      <c r="B4" s="20"/>
      <c r="C4" s="1"/>
      <c r="D4" s="69" t="s">
        <v>125</v>
      </c>
      <c r="F4" s="74"/>
      <c r="G4" s="75"/>
      <c r="H4" s="75"/>
      <c r="I4" s="75"/>
      <c r="J4" s="75"/>
      <c r="K4" s="76"/>
      <c r="M4" s="118">
        <f>Computer!Q28</f>
        <v>1.0207336523125992</v>
      </c>
      <c r="N4" s="119">
        <f>Computer!R23*3</f>
        <v>441.12016129994913</v>
      </c>
      <c r="O4" s="120">
        <f>Computer!T23</f>
        <v>0.8643198160470883</v>
      </c>
      <c r="P4" s="121">
        <f>Computer!S23*3</f>
        <v>256.68521682317692</v>
      </c>
      <c r="Q4" s="122">
        <f>Computer!Q23*3</f>
        <v>510.36682615629957</v>
      </c>
    </row>
    <row r="5" spans="2:17" ht="17" thickBot="1" x14ac:dyDescent="0.25">
      <c r="B5" s="20"/>
      <c r="C5" s="1"/>
      <c r="D5" s="69" t="s">
        <v>123</v>
      </c>
      <c r="F5" s="74"/>
      <c r="G5" s="75"/>
      <c r="H5" s="75"/>
      <c r="I5" s="75"/>
      <c r="J5" s="75"/>
      <c r="K5" s="76"/>
      <c r="M5" s="191"/>
      <c r="N5" s="26"/>
      <c r="O5" s="26"/>
      <c r="P5" s="26"/>
      <c r="Q5" s="26"/>
    </row>
    <row r="6" spans="2:17" x14ac:dyDescent="0.2">
      <c r="B6" s="36" t="s">
        <v>49</v>
      </c>
      <c r="C6" s="68" t="s">
        <v>60</v>
      </c>
      <c r="D6" s="84" t="s">
        <v>124</v>
      </c>
      <c r="F6" s="74"/>
      <c r="G6" s="75"/>
      <c r="H6" s="75"/>
      <c r="I6" s="75"/>
      <c r="J6" s="75"/>
      <c r="K6" s="76"/>
      <c r="M6" s="117" t="s">
        <v>62</v>
      </c>
      <c r="N6" s="111" t="s">
        <v>94</v>
      </c>
      <c r="O6" s="112" t="s">
        <v>63</v>
      </c>
      <c r="P6" s="113" t="s">
        <v>95</v>
      </c>
      <c r="Q6" s="114" t="s">
        <v>76</v>
      </c>
    </row>
    <row r="7" spans="2:17" ht="17" thickBot="1" x14ac:dyDescent="0.25">
      <c r="B7" s="82">
        <v>8000</v>
      </c>
      <c r="C7" s="83">
        <v>79.95</v>
      </c>
      <c r="D7" s="85" t="s">
        <v>64</v>
      </c>
      <c r="F7" s="74"/>
      <c r="G7" s="75"/>
      <c r="H7" s="75"/>
      <c r="I7" s="75"/>
      <c r="J7" s="75"/>
      <c r="K7" s="76"/>
      <c r="M7" s="118">
        <f>Computer!Q29</f>
        <v>0.66347687400319044</v>
      </c>
      <c r="N7" s="119">
        <f>Computer!R24*3</f>
        <v>286.72810484496762</v>
      </c>
      <c r="O7" s="120">
        <f>Computer!T24</f>
        <v>0.86431981604708907</v>
      </c>
      <c r="P7" s="121">
        <f>Computer!S24*3</f>
        <v>166.8453909350649</v>
      </c>
      <c r="Q7" s="122">
        <f>Computer!Q24*3</f>
        <v>331.73843700159523</v>
      </c>
    </row>
    <row r="8" spans="2:17" ht="17" thickBot="1" x14ac:dyDescent="0.25">
      <c r="F8" s="74"/>
      <c r="G8" s="75"/>
      <c r="H8" s="75"/>
      <c r="I8" s="75"/>
      <c r="J8" s="75"/>
      <c r="K8" s="76"/>
    </row>
    <row r="9" spans="2:17" ht="17" thickBot="1" x14ac:dyDescent="0.25">
      <c r="F9" s="74"/>
      <c r="G9" s="75"/>
      <c r="H9" s="75"/>
      <c r="I9" s="75"/>
      <c r="J9" s="75"/>
      <c r="K9" s="76"/>
      <c r="M9" s="89" t="s">
        <v>58</v>
      </c>
      <c r="N9" s="111" t="s">
        <v>94</v>
      </c>
      <c r="O9" s="112" t="s">
        <v>63</v>
      </c>
      <c r="P9" s="113" t="s">
        <v>95</v>
      </c>
      <c r="Q9" s="114" t="s">
        <v>76</v>
      </c>
    </row>
    <row r="10" spans="2:17" x14ac:dyDescent="0.2">
      <c r="B10" s="36" t="s">
        <v>68</v>
      </c>
      <c r="C10" s="68"/>
      <c r="D10" s="37"/>
      <c r="F10" s="74"/>
      <c r="G10" s="75"/>
      <c r="H10" s="75"/>
      <c r="I10" s="75"/>
      <c r="J10" s="75"/>
      <c r="K10" s="76"/>
      <c r="M10" s="20"/>
      <c r="N10" s="109">
        <f>Computer!R22*3</f>
        <v>0</v>
      </c>
      <c r="O10" s="110" t="e">
        <f>Computer!T22</f>
        <v>#DIV/0!</v>
      </c>
      <c r="P10" s="115">
        <f>Computer!S22*3</f>
        <v>0</v>
      </c>
      <c r="Q10" s="116">
        <f>Computer!Q22*3</f>
        <v>0</v>
      </c>
    </row>
    <row r="11" spans="2:17" ht="17" thickBot="1" x14ac:dyDescent="0.25">
      <c r="B11" s="20" t="s">
        <v>100</v>
      </c>
      <c r="C11">
        <v>1000</v>
      </c>
      <c r="D11" s="69" t="s">
        <v>92</v>
      </c>
      <c r="F11" s="77"/>
      <c r="G11" s="78"/>
      <c r="H11" s="78"/>
      <c r="I11" s="78"/>
      <c r="J11" s="78"/>
      <c r="K11" s="79"/>
      <c r="M11" s="20"/>
      <c r="Q11" s="69"/>
    </row>
    <row r="12" spans="2:17" ht="17" thickBot="1" x14ac:dyDescent="0.25">
      <c r="B12" s="20" t="s">
        <v>65</v>
      </c>
      <c r="C12">
        <v>800</v>
      </c>
      <c r="D12" s="69" t="s">
        <v>93</v>
      </c>
      <c r="M12" s="20"/>
      <c r="N12" s="36" t="s">
        <v>49</v>
      </c>
      <c r="O12" s="37" t="s">
        <v>60</v>
      </c>
      <c r="Q12" s="69"/>
    </row>
    <row r="13" spans="2:17" ht="19" thickBot="1" x14ac:dyDescent="0.3">
      <c r="B13" s="20" t="s">
        <v>66</v>
      </c>
      <c r="C13">
        <v>2</v>
      </c>
      <c r="D13" s="69"/>
      <c r="G13" s="134" t="s">
        <v>130</v>
      </c>
      <c r="J13" s="134" t="s">
        <v>131</v>
      </c>
      <c r="M13" s="38"/>
      <c r="N13" s="192">
        <f>Computer!G7</f>
        <v>0</v>
      </c>
      <c r="O13" s="88" t="e">
        <f>Computer!H7</f>
        <v>#DIV/0!</v>
      </c>
      <c r="P13" s="91"/>
      <c r="Q13" s="4"/>
    </row>
    <row r="14" spans="2:17" ht="17" thickBot="1" x14ac:dyDescent="0.25">
      <c r="B14" s="20" t="s">
        <v>67</v>
      </c>
      <c r="C14" s="86">
        <f>C12/C13</f>
        <v>400</v>
      </c>
      <c r="D14" s="69" t="s">
        <v>101</v>
      </c>
      <c r="G14" s="199">
        <f>0.001*Computer!B4*SQRT(3)/Computer!B2</f>
        <v>1</v>
      </c>
      <c r="J14" s="200">
        <f>0.001*Computer!G8*SQRT(3)/Computer!B2</f>
        <v>0.8693852794011393</v>
      </c>
    </row>
    <row r="15" spans="2:17" x14ac:dyDescent="0.2">
      <c r="B15" s="20" t="s">
        <v>70</v>
      </c>
      <c r="C15">
        <f>2*C14</f>
        <v>800</v>
      </c>
      <c r="D15" s="69" t="s">
        <v>93</v>
      </c>
    </row>
    <row r="16" spans="2:17" ht="17" thickBot="1" x14ac:dyDescent="0.25">
      <c r="B16" s="38" t="s">
        <v>63</v>
      </c>
      <c r="C16" s="87">
        <v>0.95</v>
      </c>
      <c r="D16" s="4"/>
    </row>
    <row r="17" spans="3:16" x14ac:dyDescent="0.2">
      <c r="N17" s="27"/>
      <c r="O17" s="123"/>
      <c r="P17" s="6"/>
    </row>
    <row r="18" spans="3:16" ht="19" thickBot="1" x14ac:dyDescent="0.25">
      <c r="D18" s="1"/>
      <c r="E18" s="26"/>
      <c r="F18" s="26"/>
      <c r="H18" s="26" t="s">
        <v>133</v>
      </c>
      <c r="I18" s="26" t="s">
        <v>134</v>
      </c>
      <c r="J18" s="26" t="s">
        <v>135</v>
      </c>
      <c r="K18" s="26" t="s">
        <v>136</v>
      </c>
      <c r="O18" s="5"/>
    </row>
    <row r="19" spans="3:16" ht="19" thickBot="1" x14ac:dyDescent="0.25">
      <c r="C19" s="1"/>
      <c r="D19" s="26"/>
      <c r="E19" s="33"/>
      <c r="F19" s="158" t="s">
        <v>61</v>
      </c>
      <c r="G19" s="203" t="s">
        <v>139</v>
      </c>
      <c r="H19" s="201">
        <f>IMREAL(Computer!T13)</f>
        <v>4.03</v>
      </c>
      <c r="I19" s="204">
        <f>IMAGINARY(Computer!T13)</f>
        <v>20.8</v>
      </c>
      <c r="J19" s="205">
        <f>IMABS(Computer!T13)</f>
        <v>21.186809575771434</v>
      </c>
      <c r="K19" s="204">
        <f>180*IMARGUMENT(Computer!T13)/PI()</f>
        <v>79.034803314862089</v>
      </c>
    </row>
    <row r="20" spans="3:16" ht="17" thickBot="1" x14ac:dyDescent="0.25">
      <c r="D20" s="26"/>
      <c r="E20" s="33"/>
      <c r="F20" s="33"/>
      <c r="G20" s="33"/>
      <c r="H20" s="33"/>
      <c r="I20" s="27"/>
      <c r="J20" s="27"/>
      <c r="K20" s="27"/>
    </row>
    <row r="21" spans="3:16" ht="19" thickBot="1" x14ac:dyDescent="0.25">
      <c r="D21" s="26"/>
      <c r="E21" s="33"/>
      <c r="F21" s="201" t="s">
        <v>62</v>
      </c>
      <c r="G21" s="202" t="s">
        <v>140</v>
      </c>
      <c r="H21" s="201">
        <f>IMREAL(Computer!W22)</f>
        <v>6.1999999999999904</v>
      </c>
      <c r="I21" s="204">
        <f>IMAGINARY(Computer!W22)</f>
        <v>32</v>
      </c>
      <c r="J21" s="205">
        <f>IMABS(Computer!W22)</f>
        <v>32.595091655032967</v>
      </c>
      <c r="K21" s="204">
        <f>180*IMARGUMENT(Computer!W22)/PI()</f>
        <v>79.034803314862117</v>
      </c>
    </row>
    <row r="22" spans="3:16" x14ac:dyDescent="0.2">
      <c r="D22" s="26"/>
      <c r="E22" s="33"/>
      <c r="F22" s="33"/>
      <c r="G22" s="33"/>
      <c r="H22" s="33"/>
      <c r="I22" s="92"/>
      <c r="J22" s="92"/>
    </row>
    <row r="23" spans="3:16" x14ac:dyDescent="0.2">
      <c r="D23" s="26"/>
      <c r="E23" s="33"/>
      <c r="F23" s="33"/>
      <c r="G23" s="33"/>
      <c r="H23" s="33"/>
      <c r="I23" s="92"/>
      <c r="J23" s="92"/>
    </row>
    <row r="24" spans="3:16" x14ac:dyDescent="0.2">
      <c r="D24" s="26"/>
      <c r="E24" s="33"/>
      <c r="F24" s="33"/>
      <c r="G24" s="33"/>
      <c r="H24" s="33"/>
      <c r="I24" s="92"/>
      <c r="J24" s="92"/>
    </row>
    <row r="25" spans="3:16" x14ac:dyDescent="0.2">
      <c r="D25" s="26"/>
      <c r="E25" s="33"/>
      <c r="F25" s="33"/>
      <c r="G25" s="33"/>
      <c r="H25" s="33"/>
      <c r="I25" s="92"/>
      <c r="J25" s="92"/>
    </row>
    <row r="26" spans="3:16" x14ac:dyDescent="0.2">
      <c r="D26" s="26"/>
      <c r="E26" s="33"/>
      <c r="F26" s="33"/>
      <c r="G26" s="33"/>
      <c r="H26" s="33"/>
      <c r="I26" s="92"/>
      <c r="J26" s="92"/>
    </row>
    <row r="27" spans="3:16" x14ac:dyDescent="0.2">
      <c r="D27" s="26"/>
      <c r="E27" s="33"/>
      <c r="F27" s="33"/>
      <c r="G27" s="33"/>
      <c r="H27" s="33"/>
      <c r="I27" s="92"/>
      <c r="J27" s="92"/>
    </row>
    <row r="28" spans="3:16" x14ac:dyDescent="0.2">
      <c r="D28" s="26"/>
      <c r="E28" s="33"/>
      <c r="F28" s="33"/>
      <c r="G28" s="33"/>
      <c r="H28" s="33"/>
      <c r="I28" s="92"/>
      <c r="J28" s="92"/>
    </row>
    <row r="29" spans="3:16" x14ac:dyDescent="0.2">
      <c r="D29" s="26"/>
      <c r="E29" s="33"/>
      <c r="F29" s="33"/>
      <c r="G29" s="33"/>
      <c r="H29" s="33"/>
      <c r="I29" s="92"/>
      <c r="J29" s="92"/>
    </row>
    <row r="30" spans="3:16" x14ac:dyDescent="0.2">
      <c r="D30" s="26"/>
      <c r="E30" s="33"/>
      <c r="F30" s="33"/>
      <c r="G30" s="33"/>
      <c r="H30" s="33"/>
      <c r="I30" s="93"/>
      <c r="J30" s="93"/>
    </row>
  </sheetData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83"/>
  <sheetViews>
    <sheetView zoomScale="70" zoomScaleNormal="70" zoomScalePageLayoutView="70" workbookViewId="0">
      <selection activeCell="V21" sqref="V21:W22"/>
    </sheetView>
  </sheetViews>
  <sheetFormatPr baseColWidth="10" defaultColWidth="8.6640625" defaultRowHeight="16" x14ac:dyDescent="0.2"/>
  <cols>
    <col min="1" max="5" width="10.1640625" customWidth="1"/>
    <col min="6" max="6" width="15.5" customWidth="1"/>
    <col min="7" max="7" width="11.6640625" style="7" customWidth="1"/>
    <col min="8" max="8" width="8.1640625" style="26" customWidth="1"/>
    <col min="9" max="13" width="10.1640625" customWidth="1"/>
    <col min="14" max="17" width="10.6640625" style="1" customWidth="1"/>
    <col min="18" max="1023" width="10.1640625" customWidth="1"/>
  </cols>
  <sheetData>
    <row r="1" spans="1:26" ht="17" thickBot="1" x14ac:dyDescent="0.25">
      <c r="A1" s="67" t="s">
        <v>54</v>
      </c>
      <c r="D1" s="67" t="s">
        <v>69</v>
      </c>
      <c r="M1" s="36" t="s">
        <v>118</v>
      </c>
      <c r="N1" s="2"/>
      <c r="O1" s="2"/>
      <c r="P1" s="9"/>
      <c r="Q1" s="161"/>
      <c r="R1" s="35" t="s">
        <v>53</v>
      </c>
      <c r="S1" s="35"/>
      <c r="T1" s="35"/>
      <c r="U1" s="157"/>
    </row>
    <row r="2" spans="1:26" x14ac:dyDescent="0.2">
      <c r="A2" t="s">
        <v>90</v>
      </c>
      <c r="B2" s="106">
        <v>220</v>
      </c>
      <c r="C2" t="s">
        <v>91</v>
      </c>
      <c r="G2" s="171"/>
      <c r="H2" s="90" t="s">
        <v>120</v>
      </c>
      <c r="I2" s="68"/>
      <c r="J2" s="68"/>
      <c r="K2" s="68"/>
      <c r="L2" s="37"/>
      <c r="M2" s="1" t="s">
        <v>1</v>
      </c>
      <c r="O2" s="1" t="s">
        <v>2</v>
      </c>
      <c r="P2" s="11"/>
      <c r="Q2" s="165" t="s">
        <v>103</v>
      </c>
      <c r="R2" s="2" t="s">
        <v>33</v>
      </c>
      <c r="S2" s="68"/>
      <c r="T2" s="142" t="s">
        <v>105</v>
      </c>
      <c r="U2" s="37"/>
    </row>
    <row r="3" spans="1:26" x14ac:dyDescent="0.2">
      <c r="A3" t="s">
        <v>10</v>
      </c>
      <c r="B3" s="14">
        <f>1000*B2/SQRT(3)</f>
        <v>127017.05922171767</v>
      </c>
      <c r="C3" t="s">
        <v>3</v>
      </c>
      <c r="D3" t="s">
        <v>49</v>
      </c>
      <c r="G3" s="172" t="s">
        <v>3</v>
      </c>
      <c r="H3" s="26" t="s">
        <v>20</v>
      </c>
      <c r="I3" s="1" t="s">
        <v>50</v>
      </c>
      <c r="J3" s="1" t="s">
        <v>21</v>
      </c>
      <c r="K3" s="1" t="s">
        <v>22</v>
      </c>
      <c r="L3" s="173" t="s">
        <v>55</v>
      </c>
      <c r="M3" s="1" t="s">
        <v>51</v>
      </c>
      <c r="N3" s="1" t="s">
        <v>52</v>
      </c>
      <c r="O3" s="1" t="s">
        <v>51</v>
      </c>
      <c r="P3" s="11" t="s">
        <v>52</v>
      </c>
      <c r="Q3" s="166" t="s">
        <v>104</v>
      </c>
      <c r="R3" t="s">
        <v>34</v>
      </c>
      <c r="T3" s="5" t="s">
        <v>105</v>
      </c>
      <c r="U3" s="69"/>
    </row>
    <row r="4" spans="1:26" ht="17" thickBot="1" x14ac:dyDescent="0.25">
      <c r="A4" t="s">
        <v>7</v>
      </c>
      <c r="B4" s="14">
        <f>B3</f>
        <v>127017.05922171767</v>
      </c>
      <c r="C4" t="s">
        <v>3</v>
      </c>
      <c r="D4" t="s">
        <v>11</v>
      </c>
      <c r="E4">
        <v>0</v>
      </c>
      <c r="G4" s="174">
        <f>SQRT(J4*J4+K4*K4)</f>
        <v>28376.883194063488</v>
      </c>
      <c r="H4" s="27">
        <f>IF(L4&gt;0,ATAN(K4/J4)*180/PI(),IF(K4/J4&gt;0,ATAN(K4/J4)*180/PI()+180,ATAN(K4/J4)*180/PI()-180))</f>
        <v>48.839930976095367</v>
      </c>
      <c r="I4" s="175" t="s">
        <v>31</v>
      </c>
      <c r="J4" s="176">
        <f>IMREAL(T17)</f>
        <v>18676.669111923598</v>
      </c>
      <c r="K4" s="176">
        <f>IMAGINARY(T17)</f>
        <v>21364.211445621899</v>
      </c>
      <c r="L4" s="173">
        <f>IF(J4&lt;0,-1,1)</f>
        <v>1</v>
      </c>
      <c r="M4" s="16">
        <f>J6</f>
        <v>127017.05922171767</v>
      </c>
      <c r="N4" s="12">
        <f>J6-J4</f>
        <v>108340.39010979407</v>
      </c>
      <c r="O4" s="12">
        <f>K6</f>
        <v>0</v>
      </c>
      <c r="P4" s="13">
        <f>K6-K4</f>
        <v>-21364.211445621899</v>
      </c>
      <c r="Q4" s="166" t="s">
        <v>106</v>
      </c>
      <c r="R4" t="s">
        <v>35</v>
      </c>
      <c r="U4" s="69"/>
    </row>
    <row r="5" spans="1:26" ht="17" thickBot="1" x14ac:dyDescent="0.25">
      <c r="A5" s="197" t="s">
        <v>129</v>
      </c>
      <c r="B5" s="198">
        <f>UPFC_220kV!C2</f>
        <v>0</v>
      </c>
      <c r="C5" s="188">
        <f>1000*PI()*B6*(1-Q11/Q12)*S9*SQRT(3)*U7/S7+5</f>
        <v>12631.496789547493</v>
      </c>
      <c r="D5" s="193" t="s">
        <v>126</v>
      </c>
      <c r="E5" s="80">
        <f>B6*((H11+H12)/2+S10)</f>
        <v>48.839930976095303</v>
      </c>
      <c r="G5" s="174">
        <f>SQRT(J5*J5+K5*K5)</f>
        <v>28376.883194063488</v>
      </c>
      <c r="H5" s="27">
        <f>IF(L5&gt;0,ATAN(K5/J5)*180/PI(),IF(K5/J5&gt;0,ATAN(K5/J5)*180/PI()+180,ATAN(K5/J5)*180/PI()-180))</f>
        <v>48.839930976095367</v>
      </c>
      <c r="I5" s="177" t="s">
        <v>32</v>
      </c>
      <c r="J5" s="178">
        <f>J4-J7</f>
        <v>18676.669111923598</v>
      </c>
      <c r="K5" s="178">
        <f>K4-K7</f>
        <v>21364.211445621899</v>
      </c>
      <c r="L5" s="173">
        <f>IF(J5&lt;0,-1,1)</f>
        <v>1</v>
      </c>
      <c r="M5" s="16"/>
      <c r="N5" s="12"/>
      <c r="O5" s="12"/>
      <c r="P5" s="13"/>
      <c r="Q5" s="167" t="s">
        <v>107</v>
      </c>
      <c r="R5" s="91" t="s">
        <v>39</v>
      </c>
      <c r="S5" s="91"/>
      <c r="T5" s="143" t="s">
        <v>36</v>
      </c>
      <c r="U5" s="4"/>
      <c r="V5" t="s">
        <v>110</v>
      </c>
    </row>
    <row r="6" spans="1:26" ht="17" thickBot="1" x14ac:dyDescent="0.25">
      <c r="A6" t="s">
        <v>56</v>
      </c>
      <c r="B6" s="43">
        <v>1</v>
      </c>
      <c r="C6" s="188">
        <f>1000*PI()*B6*(1-Q11/Q12)*S9*SQRT(3)*U7/S7+5</f>
        <v>12631.496789547493</v>
      </c>
      <c r="D6" s="193" t="s">
        <v>127</v>
      </c>
      <c r="E6" s="80">
        <f>B6*(90+S10+F6)</f>
        <v>62.755127661233217</v>
      </c>
      <c r="F6" s="6">
        <v>2.95</v>
      </c>
      <c r="G6" s="174">
        <f t="shared" ref="G6:G7" si="0">SQRT(J6*J6+K6*K6)</f>
        <v>127017.05922171767</v>
      </c>
      <c r="H6" s="27">
        <f t="shared" ref="H6:H7" si="1">IF(L6&gt;0,ATAN(K6/J6)*180/PI(),IF(K6/J6&gt;0,ATAN(K6/J6)*180/PI()+180,ATAN(K6/J6)*180/PI()-180))</f>
        <v>0</v>
      </c>
      <c r="I6" s="177" t="s">
        <v>15</v>
      </c>
      <c r="J6" s="178">
        <f>J9+J7</f>
        <v>127017.05922171767</v>
      </c>
      <c r="K6" s="178">
        <f>K9+K7</f>
        <v>0</v>
      </c>
      <c r="L6" s="173">
        <f t="shared" ref="L6:L9" si="2">IF(J6&lt;0,-1,1)</f>
        <v>1</v>
      </c>
      <c r="M6" s="16">
        <v>0</v>
      </c>
      <c r="N6" s="12">
        <f>J6</f>
        <v>127017.05922171767</v>
      </c>
      <c r="O6" s="12">
        <f>K9</f>
        <v>0</v>
      </c>
      <c r="P6" s="13">
        <f>K6</f>
        <v>0</v>
      </c>
      <c r="U6" s="7"/>
      <c r="W6" s="7"/>
    </row>
    <row r="7" spans="1:26" ht="17" thickBot="1" x14ac:dyDescent="0.25">
      <c r="A7" s="34" t="s">
        <v>9</v>
      </c>
      <c r="B7" s="58">
        <f>IF(UPFC_220kV!C2=1,C5,IF(UPFC_220kV!C2=2,C6,IF(UPFC_220kV!C2=3,C8,IF(UPFC_220kV!C2=4,UPFC_220kV!B7,0))))</f>
        <v>0</v>
      </c>
      <c r="C7" s="35" t="s">
        <v>3</v>
      </c>
      <c r="D7" s="35" t="s">
        <v>12</v>
      </c>
      <c r="E7" s="81">
        <f>IF(UPFC_220kV!C2=1,E5,IF(UPFC_220kV!C2=2,E6,IF(UPFC_220kV!C2=3,E8,IF(UPFC_220kV!C2=4,UPFC_220kV!C7,0))))</f>
        <v>0</v>
      </c>
      <c r="F7" s="190">
        <f>I22-E7</f>
        <v>-30.194872338766743</v>
      </c>
      <c r="G7" s="174">
        <f t="shared" si="0"/>
        <v>0</v>
      </c>
      <c r="H7" s="27" t="e">
        <f t="shared" si="1"/>
        <v>#DIV/0!</v>
      </c>
      <c r="I7" s="179" t="s">
        <v>13</v>
      </c>
      <c r="J7" s="180">
        <f>B7*COS(E7*PI()/180)</f>
        <v>0</v>
      </c>
      <c r="K7" s="180">
        <f>B7*SIN(E7*PI()/180)</f>
        <v>0</v>
      </c>
      <c r="L7" s="173">
        <f t="shared" si="2"/>
        <v>1</v>
      </c>
      <c r="M7" s="16">
        <f>J9</f>
        <v>127017.05922171767</v>
      </c>
      <c r="N7" s="12">
        <f>J9+J7</f>
        <v>127017.05922171767</v>
      </c>
      <c r="O7" s="12">
        <f>K9</f>
        <v>0</v>
      </c>
      <c r="P7" s="13">
        <f>K9+K7</f>
        <v>0</v>
      </c>
      <c r="Q7" s="1" t="s">
        <v>132</v>
      </c>
      <c r="R7" s="36" t="s">
        <v>23</v>
      </c>
      <c r="S7" s="136">
        <f>UPFC_220kV!C14*2/3+Q8</f>
        <v>266.66666666666669</v>
      </c>
      <c r="T7" s="37" t="s">
        <v>93</v>
      </c>
      <c r="U7" s="33">
        <f>UPFC_220kV!C12/UPFC_220kV!C11</f>
        <v>0.8</v>
      </c>
      <c r="V7" t="s">
        <v>71</v>
      </c>
      <c r="W7" s="7"/>
    </row>
    <row r="8" spans="1:26" ht="17" thickBot="1" x14ac:dyDescent="0.25">
      <c r="C8" s="196">
        <f>1000*PI()*B6*(1-Q11/Q12)*S9*SQRT(3)*U7/S7+5</f>
        <v>12631.496789547493</v>
      </c>
      <c r="D8" s="194" t="s">
        <v>128</v>
      </c>
      <c r="E8" s="195">
        <f>B6*(90+E4)</f>
        <v>90</v>
      </c>
      <c r="F8" s="27"/>
      <c r="G8" s="174">
        <f>SQRT(J8*J8+K8*K8)</f>
        <v>110426.76152018407</v>
      </c>
      <c r="H8" s="27">
        <f>IF(L8&gt;0,ATAN(K8/J8)*180/PI(),IF(K8/J8&gt;0,ATAN(K8/J8)*180/PI()+180,ATAN(K8/J8)*180/PI()-180))</f>
        <v>-11.155330481570822</v>
      </c>
      <c r="I8" s="177" t="s">
        <v>16</v>
      </c>
      <c r="J8" s="178">
        <f>-J4+J7+J9</f>
        <v>108340.39010979407</v>
      </c>
      <c r="K8" s="178">
        <f>-K4+K7+K9</f>
        <v>-21364.211445621899</v>
      </c>
      <c r="L8" s="173">
        <f t="shared" si="2"/>
        <v>1</v>
      </c>
      <c r="M8" s="16">
        <v>0</v>
      </c>
      <c r="N8" s="12">
        <f>J8</f>
        <v>108340.39010979407</v>
      </c>
      <c r="O8" s="12">
        <v>0</v>
      </c>
      <c r="P8" s="13">
        <f>K8</f>
        <v>-21364.211445621899</v>
      </c>
      <c r="Q8" s="1">
        <v>0</v>
      </c>
      <c r="R8" s="20" t="s">
        <v>24</v>
      </c>
      <c r="S8" s="135">
        <f>UPFC_220kV!C16</f>
        <v>0.95</v>
      </c>
      <c r="T8" s="42">
        <v>-1</v>
      </c>
      <c r="U8" s="1" t="s">
        <v>27</v>
      </c>
      <c r="V8" s="1" t="s">
        <v>28</v>
      </c>
      <c r="W8" s="5" t="s">
        <v>55</v>
      </c>
    </row>
    <row r="9" spans="1:26" ht="17" thickBot="1" x14ac:dyDescent="0.25">
      <c r="A9" s="75"/>
      <c r="B9" s="75"/>
      <c r="C9" s="189"/>
      <c r="D9" s="75"/>
      <c r="E9" s="75"/>
      <c r="F9" s="75"/>
      <c r="G9" s="181"/>
      <c r="I9" s="179" t="s">
        <v>14</v>
      </c>
      <c r="J9" s="180">
        <f>B4*COS(E4*PI()/180)</f>
        <v>127017.05922171767</v>
      </c>
      <c r="K9" s="180">
        <f>B4*SIN(E4*PI()/180)</f>
        <v>0</v>
      </c>
      <c r="L9" s="173">
        <f t="shared" si="2"/>
        <v>1</v>
      </c>
      <c r="M9" s="16">
        <v>0</v>
      </c>
      <c r="N9" s="12">
        <f>J9</f>
        <v>127017.05922171767</v>
      </c>
      <c r="O9" s="12">
        <v>0</v>
      </c>
      <c r="P9" s="13">
        <f>K9</f>
        <v>0</v>
      </c>
      <c r="Q9" s="9" t="s">
        <v>99</v>
      </c>
      <c r="R9" s="36" t="s">
        <v>6</v>
      </c>
      <c r="S9" s="39">
        <f>1000000*S7/(S8*B4)</f>
        <v>2209.9531835009598</v>
      </c>
      <c r="T9" s="37" t="s">
        <v>5</v>
      </c>
      <c r="U9" s="144">
        <f>S9*COS(S10*PI()/180)</f>
        <v>1910.1063290362274</v>
      </c>
      <c r="V9" s="144">
        <f>S9*SIN(S10*PI()/180)</f>
        <v>-1111.4795927239395</v>
      </c>
      <c r="W9" s="41">
        <f>IF(U9&lt;0,-1,1)</f>
        <v>1</v>
      </c>
    </row>
    <row r="10" spans="1:26" ht="17" thickBot="1" x14ac:dyDescent="0.25">
      <c r="A10" s="75"/>
      <c r="B10" s="75"/>
      <c r="C10" s="75"/>
      <c r="D10" s="75"/>
      <c r="E10" s="75"/>
      <c r="F10" s="75"/>
      <c r="G10" s="181"/>
      <c r="I10" s="164" t="s">
        <v>119</v>
      </c>
      <c r="J10" s="163"/>
      <c r="K10" s="163"/>
      <c r="L10" s="157"/>
      <c r="M10" s="35"/>
      <c r="N10" s="162"/>
      <c r="P10" s="11"/>
      <c r="Q10" s="168">
        <v>-12</v>
      </c>
      <c r="R10" s="38" t="s">
        <v>25</v>
      </c>
      <c r="S10" s="40">
        <f>T8*ACOS(S8)*180/PI()+Q10</f>
        <v>-30.194872338766785</v>
      </c>
      <c r="T10" s="4" t="s">
        <v>0</v>
      </c>
      <c r="U10" s="26" t="s">
        <v>72</v>
      </c>
      <c r="V10" s="27">
        <f>1000*S7/(B3*U7*3)</f>
        <v>0.87477313513579646</v>
      </c>
    </row>
    <row r="11" spans="1:26" ht="17" thickBot="1" x14ac:dyDescent="0.25">
      <c r="A11" s="75"/>
      <c r="B11" s="75"/>
      <c r="C11" s="75"/>
      <c r="D11" s="75"/>
      <c r="E11" s="75"/>
      <c r="F11" s="75"/>
      <c r="G11" s="181" t="s">
        <v>121</v>
      </c>
      <c r="H11" s="27">
        <f>180*IMARGUMENT(T13)/PI()</f>
        <v>79.034803314862089</v>
      </c>
      <c r="I11" s="170" t="s">
        <v>37</v>
      </c>
      <c r="J11">
        <v>4.03</v>
      </c>
      <c r="K11" t="s">
        <v>4</v>
      </c>
      <c r="L11" s="182" t="s">
        <v>38</v>
      </c>
      <c r="M11">
        <v>20.8</v>
      </c>
      <c r="N11" s="69" t="s">
        <v>4</v>
      </c>
      <c r="O11"/>
      <c r="P11" s="169" t="s">
        <v>115</v>
      </c>
      <c r="Q11" s="12">
        <f>IMABS(T13)</f>
        <v>21.186809575771434</v>
      </c>
    </row>
    <row r="12" spans="1:26" ht="17" thickBot="1" x14ac:dyDescent="0.25">
      <c r="A12" s="75"/>
      <c r="B12" s="75"/>
      <c r="C12" s="75"/>
      <c r="D12" s="75"/>
      <c r="E12" s="75"/>
      <c r="F12" s="75"/>
      <c r="G12" s="181" t="s">
        <v>122</v>
      </c>
      <c r="H12" s="27">
        <f>180*IMARGUMENT(T14)/PI()</f>
        <v>79.034803314862089</v>
      </c>
      <c r="I12" s="145" t="s">
        <v>29</v>
      </c>
      <c r="J12" s="91">
        <v>6.2</v>
      </c>
      <c r="K12" s="91" t="s">
        <v>4</v>
      </c>
      <c r="L12" s="183" t="s">
        <v>30</v>
      </c>
      <c r="M12" s="91">
        <v>32</v>
      </c>
      <c r="N12" s="4" t="s">
        <v>4</v>
      </c>
      <c r="O12"/>
      <c r="P12" s="169" t="s">
        <v>116</v>
      </c>
      <c r="Q12" s="12">
        <f>IMABS(T14)</f>
        <v>32.595091655032974</v>
      </c>
      <c r="S12" s="158"/>
      <c r="T12" s="159" t="s">
        <v>117</v>
      </c>
      <c r="U12" s="35"/>
      <c r="V12" s="160"/>
      <c r="W12" s="35"/>
      <c r="X12" s="35"/>
      <c r="Y12" s="35"/>
      <c r="Z12" s="157"/>
    </row>
    <row r="13" spans="1:26" x14ac:dyDescent="0.2">
      <c r="A13" s="75"/>
      <c r="B13" s="75"/>
      <c r="C13" s="75"/>
      <c r="D13" s="75"/>
      <c r="E13" s="75"/>
      <c r="F13" s="75"/>
      <c r="G13" s="181"/>
      <c r="L13" s="69"/>
      <c r="M13" s="2" t="s">
        <v>1</v>
      </c>
      <c r="N13" s="8"/>
      <c r="O13" s="2" t="s">
        <v>2</v>
      </c>
      <c r="P13" s="9"/>
      <c r="R13" s="33"/>
      <c r="S13" s="147" t="s">
        <v>108</v>
      </c>
      <c r="T13" s="148" t="str">
        <f>COMPLEX(J11,M11)</f>
        <v>4,03+20,8i</v>
      </c>
      <c r="U13" s="149"/>
      <c r="V13" s="150" t="s">
        <v>112</v>
      </c>
      <c r="W13" s="68"/>
      <c r="X13" s="151" t="str">
        <f>IMDIV(IMPRODUCT(T13,T14),IMSUM(T13,T14))</f>
        <v>2,44242424242424+12,6060606060606i</v>
      </c>
      <c r="Y13" s="68"/>
      <c r="Z13" s="37"/>
    </row>
    <row r="14" spans="1:26" x14ac:dyDescent="0.2">
      <c r="A14" s="75"/>
      <c r="B14" s="75"/>
      <c r="C14" s="75"/>
      <c r="D14" s="75"/>
      <c r="E14" s="75"/>
      <c r="F14" s="75"/>
      <c r="G14" s="181"/>
      <c r="I14" s="1" t="s">
        <v>50</v>
      </c>
      <c r="J14" s="1" t="s">
        <v>1</v>
      </c>
      <c r="K14" s="1" t="s">
        <v>2</v>
      </c>
      <c r="L14" s="69"/>
      <c r="M14" s="1" t="s">
        <v>51</v>
      </c>
      <c r="N14" s="10" t="s">
        <v>52</v>
      </c>
      <c r="O14" s="1" t="s">
        <v>51</v>
      </c>
      <c r="P14" s="11" t="s">
        <v>52</v>
      </c>
      <c r="R14" s="33"/>
      <c r="S14" s="152" t="s">
        <v>109</v>
      </c>
      <c r="T14" s="33" t="str">
        <f>COMPLEX(J12,M12)</f>
        <v>6,2+32i</v>
      </c>
      <c r="U14" s="153"/>
      <c r="V14" s="41" t="s">
        <v>113</v>
      </c>
      <c r="X14" s="154" t="str">
        <f>IMDIV(T14,IMSUM(T13,T14))</f>
        <v>0,606060606060606</v>
      </c>
      <c r="Z14" s="69"/>
    </row>
    <row r="15" spans="1:26" x14ac:dyDescent="0.2">
      <c r="A15" s="75"/>
      <c r="B15" s="75"/>
      <c r="C15" s="75"/>
      <c r="D15" s="75"/>
      <c r="E15" s="75"/>
      <c r="F15" s="75"/>
      <c r="G15" s="181"/>
      <c r="I15" s="1"/>
      <c r="J15" s="1"/>
      <c r="K15" s="1"/>
      <c r="L15" s="69"/>
      <c r="M15" s="1"/>
      <c r="N15" s="10"/>
      <c r="P15" s="11"/>
      <c r="R15" s="33"/>
      <c r="S15" s="152" t="s">
        <v>6</v>
      </c>
      <c r="T15" s="33" t="str">
        <f>COMPLEX(U9,V9)</f>
        <v>1910,10632903623-1111,47959272394i</v>
      </c>
      <c r="U15" s="153"/>
      <c r="V15" s="5"/>
      <c r="Z15" s="69"/>
    </row>
    <row r="16" spans="1:26" x14ac:dyDescent="0.2">
      <c r="A16" s="75"/>
      <c r="B16" s="75"/>
      <c r="C16" s="75"/>
      <c r="D16" s="75"/>
      <c r="E16" s="75"/>
      <c r="F16" s="75"/>
      <c r="G16" s="181"/>
      <c r="I16" s="177" t="s">
        <v>40</v>
      </c>
      <c r="J16" s="184">
        <f>U9-J20</f>
        <v>1157.6401994158944</v>
      </c>
      <c r="K16" s="184">
        <f>V9-K20</f>
        <v>-673.62399559026653</v>
      </c>
      <c r="L16" s="69" t="s">
        <v>5</v>
      </c>
      <c r="M16" s="16">
        <v>0</v>
      </c>
      <c r="N16" s="21">
        <f>J16</f>
        <v>1157.6401994158944</v>
      </c>
      <c r="O16" s="12">
        <v>0</v>
      </c>
      <c r="P16" s="13">
        <f>K16</f>
        <v>-673.62399559026653</v>
      </c>
      <c r="R16" s="33"/>
      <c r="S16" s="152" t="s">
        <v>9</v>
      </c>
      <c r="T16" t="str">
        <f>COMPLEX(J7,K7)</f>
        <v>0</v>
      </c>
      <c r="Z16" s="69"/>
    </row>
    <row r="17" spans="1:26" x14ac:dyDescent="0.2">
      <c r="A17" s="75"/>
      <c r="B17" s="75"/>
      <c r="C17" s="75"/>
      <c r="D17" s="75"/>
      <c r="E17" s="75"/>
      <c r="F17" s="75"/>
      <c r="G17" s="181"/>
      <c r="I17" s="12">
        <f>SQRT(J16*J16+K16*K16)</f>
        <v>1339.3655657581567</v>
      </c>
      <c r="L17" s="69"/>
      <c r="M17" s="16">
        <f>N16</f>
        <v>1157.6401994158944</v>
      </c>
      <c r="N17" s="21">
        <f>N16+J20</f>
        <v>1910.1063290362274</v>
      </c>
      <c r="O17" s="12">
        <f>P16</f>
        <v>-673.62399559026653</v>
      </c>
      <c r="P17" s="13">
        <f>P16+K20</f>
        <v>-1111.4795927239395</v>
      </c>
      <c r="S17" s="155" t="s">
        <v>111</v>
      </c>
      <c r="T17" s="153" t="str">
        <f>IMSUM(IMPRODUCT(T15,X13),IMPRODUCT(T16,X14))</f>
        <v>18676,6691119236+21364,2114456219i</v>
      </c>
      <c r="Z17" s="69"/>
    </row>
    <row r="18" spans="1:26" ht="17" thickBot="1" x14ac:dyDescent="0.25">
      <c r="A18" s="75"/>
      <c r="B18" s="75"/>
      <c r="C18" s="75"/>
      <c r="D18" s="75"/>
      <c r="E18" s="75"/>
      <c r="F18" s="75"/>
      <c r="G18" s="181"/>
      <c r="I18" s="12">
        <f>IF(J18&gt;0,ATAN(K16/J16)*180/PI(),IF(K16/J16&gt;0,ATAN(K16/J16)*180/PI()+180,ATAN(K16/J16)*180/PI()-180))</f>
        <v>-30.194872338766817</v>
      </c>
      <c r="J18" s="1">
        <f>IF(J16&lt;0,-1,1)</f>
        <v>1</v>
      </c>
      <c r="L18" s="69"/>
      <c r="M18" s="40">
        <v>0</v>
      </c>
      <c r="N18" s="18">
        <f>U9</f>
        <v>1910.1063290362274</v>
      </c>
      <c r="O18" s="19">
        <v>0</v>
      </c>
      <c r="P18" s="146">
        <f>V9</f>
        <v>-1111.4795927239395</v>
      </c>
      <c r="S18" s="156" t="s">
        <v>114</v>
      </c>
      <c r="T18" s="91" t="str">
        <f>IMDIV(T17,T14)</f>
        <v>752,466129620333-437,855597133673i</v>
      </c>
      <c r="U18" s="91"/>
      <c r="V18" s="91"/>
      <c r="W18" s="91"/>
      <c r="X18" s="91"/>
      <c r="Y18" s="91"/>
      <c r="Z18" s="4"/>
    </row>
    <row r="19" spans="1:26" ht="17" thickBot="1" x14ac:dyDescent="0.25">
      <c r="A19" s="75"/>
      <c r="B19" s="75"/>
      <c r="C19" s="75"/>
      <c r="D19" s="75"/>
      <c r="E19" s="75"/>
      <c r="F19" s="75"/>
      <c r="G19" s="181"/>
      <c r="I19" s="12"/>
      <c r="J19" s="1"/>
      <c r="L19" s="69"/>
      <c r="M19" s="16"/>
      <c r="N19" s="12"/>
      <c r="O19" s="12"/>
      <c r="P19" s="12"/>
    </row>
    <row r="20" spans="1:26" x14ac:dyDescent="0.2">
      <c r="A20" s="75"/>
      <c r="B20" s="75"/>
      <c r="C20" s="75"/>
      <c r="D20" s="75"/>
      <c r="E20" s="75"/>
      <c r="F20" s="75"/>
      <c r="G20" s="181"/>
      <c r="I20" s="185" t="s">
        <v>26</v>
      </c>
      <c r="J20" s="186">
        <f>IMREAL(T18)</f>
        <v>752.46612962033305</v>
      </c>
      <c r="K20" s="186">
        <f>IMAGINARY(T18)</f>
        <v>-437.85559713367297</v>
      </c>
      <c r="L20" s="69" t="s">
        <v>5</v>
      </c>
      <c r="N20"/>
      <c r="O20"/>
      <c r="P20" s="22"/>
      <c r="Q20" s="23" t="s">
        <v>76</v>
      </c>
      <c r="R20" s="23" t="s">
        <v>94</v>
      </c>
      <c r="S20" s="23" t="s">
        <v>95</v>
      </c>
      <c r="T20" s="24" t="s">
        <v>17</v>
      </c>
    </row>
    <row r="21" spans="1:26" x14ac:dyDescent="0.2">
      <c r="A21" s="75"/>
      <c r="B21" s="75"/>
      <c r="C21" s="75"/>
      <c r="D21" s="75"/>
      <c r="E21" s="75"/>
      <c r="F21" s="75"/>
      <c r="G21" s="181"/>
      <c r="I21" s="27">
        <f>SQRT(J20*J20+K20*K20)</f>
        <v>870.58761774280322</v>
      </c>
      <c r="L21" s="69"/>
      <c r="P21" s="25" t="s">
        <v>18</v>
      </c>
      <c r="Q21" s="30">
        <f>-B4*L9*W9*S9/1000000</f>
        <v>-280.70175438596493</v>
      </c>
      <c r="R21" s="31">
        <f>Q21*COS(-1*(S10-E4)*PI()/180)</f>
        <v>-242.61608871497228</v>
      </c>
      <c r="S21" s="31">
        <f>Q21*SIN(-1*(S10-E4)*PI()/180)</f>
        <v>-141.17686925274725</v>
      </c>
      <c r="T21" s="28">
        <f>R21/Q21</f>
        <v>0.86431981604708863</v>
      </c>
      <c r="V21" t="s">
        <v>137</v>
      </c>
      <c r="W21" t="str">
        <f>COMPLEX(J5,K5)</f>
        <v>18676,6691119236+21364,2114456219i</v>
      </c>
    </row>
    <row r="22" spans="1:26" ht="17" thickBot="1" x14ac:dyDescent="0.25">
      <c r="G22" s="187"/>
      <c r="H22" s="100"/>
      <c r="I22" s="19">
        <f>IF(J22&gt;0,ATAN(K20/J20)*180/PI(),IF(K20/J20&gt;0,ATAN(K20/J20)*180/PI()+180,ATAN(K20/J20)*180/PI()-180))</f>
        <v>-30.194872338766743</v>
      </c>
      <c r="J22" s="3">
        <f>IF(J20&lt;0,-1,1)</f>
        <v>1</v>
      </c>
      <c r="K22" s="3"/>
      <c r="L22" s="4"/>
      <c r="P22" s="25" t="s">
        <v>13</v>
      </c>
      <c r="Q22" s="30">
        <f>-L7*B7*J18*I21*J22/1000000</f>
        <v>0</v>
      </c>
      <c r="R22" s="31">
        <f>Q22*COS(-1*(I22-E7)*PI()/180)</f>
        <v>0</v>
      </c>
      <c r="S22" s="31">
        <f>Q22*SIN(-1*(I22-E7)*PI()/180)</f>
        <v>0</v>
      </c>
      <c r="T22" s="28" t="e">
        <f t="shared" ref="T22:T24" si="3">R22/Q22</f>
        <v>#DIV/0!</v>
      </c>
      <c r="V22" t="s">
        <v>138</v>
      </c>
      <c r="W22" t="str">
        <f>IMDIV(W21,T18)</f>
        <v>6,19999999999999+32i</v>
      </c>
    </row>
    <row r="23" spans="1:26" x14ac:dyDescent="0.2">
      <c r="M23" s="1"/>
      <c r="P23" s="25" t="s">
        <v>41</v>
      </c>
      <c r="Q23" s="30">
        <f>B4*L9*I17*J18/1000000</f>
        <v>170.1222753854332</v>
      </c>
      <c r="R23" s="31">
        <f>Q23*COS(-1*(I18-E4)*PI()/180)</f>
        <v>147.04005376664972</v>
      </c>
      <c r="S23" s="31">
        <f>Q23*SIN(-1*(I18-E4)*PI()/180)</f>
        <v>85.561738941058977</v>
      </c>
      <c r="T23" s="28">
        <f t="shared" si="3"/>
        <v>0.8643198160470883</v>
      </c>
      <c r="U23" t="s">
        <v>14</v>
      </c>
    </row>
    <row r="24" spans="1:26" x14ac:dyDescent="0.2">
      <c r="I24" s="1"/>
      <c r="J24" s="1"/>
      <c r="K24" s="1"/>
      <c r="M24" s="1"/>
      <c r="P24" s="25" t="s">
        <v>42</v>
      </c>
      <c r="Q24" s="30">
        <f>B4*L9*I21*J22/1000000</f>
        <v>110.57947900053175</v>
      </c>
      <c r="R24" s="31">
        <f>Q24*COS(-1*(I22-E4)*PI()/180)</f>
        <v>95.576034948322544</v>
      </c>
      <c r="S24" s="31">
        <f>Q24*SIN(-1*(I22-E4)*PI()/180)</f>
        <v>55.615130311688297</v>
      </c>
      <c r="T24" s="28">
        <f t="shared" si="3"/>
        <v>0.86431981604708907</v>
      </c>
      <c r="U24" t="s">
        <v>14</v>
      </c>
    </row>
    <row r="25" spans="1:26" x14ac:dyDescent="0.2">
      <c r="I25" s="1"/>
      <c r="J25" s="12"/>
      <c r="K25" s="12"/>
      <c r="M25" s="16"/>
      <c r="N25" s="12"/>
      <c r="O25" s="12"/>
      <c r="P25" s="44" t="s">
        <v>43</v>
      </c>
      <c r="Q25" s="30">
        <f>Q23+Q24</f>
        <v>280.70175438596493</v>
      </c>
      <c r="R25" s="30">
        <f t="shared" ref="R25:S25" si="4">R23+R24</f>
        <v>242.61608871497225</v>
      </c>
      <c r="S25" s="30">
        <f t="shared" si="4"/>
        <v>141.17686925274728</v>
      </c>
      <c r="T25" s="45"/>
    </row>
    <row r="26" spans="1:26" ht="17" thickBot="1" x14ac:dyDescent="0.25">
      <c r="I26" s="12"/>
      <c r="P26" s="46" t="s">
        <v>19</v>
      </c>
      <c r="Q26" s="47">
        <f>G8*L8*S9*W9/1000000</f>
        <v>244.03797316523207</v>
      </c>
      <c r="R26" s="32">
        <f>Q26*COS(-1*(S10-H8)*PI()/180)</f>
        <v>230.68754987541951</v>
      </c>
      <c r="S26" s="32">
        <f>Q26*SIN(-1*(S10-H8)*PI()/180)</f>
        <v>79.610217177636017</v>
      </c>
      <c r="T26" s="29">
        <f>R26/Q26</f>
        <v>0.94529366427423434</v>
      </c>
    </row>
    <row r="27" spans="1:26" ht="17" thickBot="1" x14ac:dyDescent="0.25">
      <c r="I27" s="12"/>
      <c r="N27"/>
      <c r="O27"/>
      <c r="P27"/>
    </row>
    <row r="28" spans="1:26" x14ac:dyDescent="0.2">
      <c r="N28"/>
      <c r="O28"/>
      <c r="P28" s="52" t="str">
        <f>P23</f>
        <v>L1</v>
      </c>
      <c r="Q28" s="50">
        <f>2*U7*Q23/(S7)</f>
        <v>1.0207336523125992</v>
      </c>
      <c r="R28" s="48">
        <f>2*R23/Q25</f>
        <v>1.0476603830873792</v>
      </c>
      <c r="S28" s="48">
        <f>2*S23/Q25</f>
        <v>0.60962738995504517</v>
      </c>
      <c r="T28" s="54">
        <f t="shared" ref="T28:T29" si="5">T23</f>
        <v>0.8643198160470883</v>
      </c>
    </row>
    <row r="29" spans="1:26" ht="17" thickBot="1" x14ac:dyDescent="0.25">
      <c r="I29" s="1"/>
      <c r="J29" s="1"/>
      <c r="K29" s="1"/>
      <c r="P29" s="53" t="str">
        <f>P24</f>
        <v>L2</v>
      </c>
      <c r="Q29" s="51">
        <f>2*U7*Q24/(S7)</f>
        <v>0.66347687400319044</v>
      </c>
      <c r="R29" s="49">
        <f>2*R24/Q25</f>
        <v>0.68097924900679807</v>
      </c>
      <c r="S29" s="49">
        <f>2*S24/Q25</f>
        <v>0.3962578034707791</v>
      </c>
      <c r="T29" s="55">
        <f t="shared" si="5"/>
        <v>0.86431981604708907</v>
      </c>
    </row>
    <row r="30" spans="1:26" ht="17" thickBot="1" x14ac:dyDescent="0.25">
      <c r="I30" s="7"/>
      <c r="J30" s="17"/>
      <c r="K30" s="1"/>
      <c r="L30" s="17"/>
      <c r="M30" s="7"/>
      <c r="N30" s="17"/>
      <c r="P30" s="34" t="s">
        <v>13</v>
      </c>
      <c r="Q30" s="56">
        <f>Q22/Q25</f>
        <v>0</v>
      </c>
      <c r="R30" s="56">
        <f>R22/Q25</f>
        <v>0</v>
      </c>
      <c r="S30" s="56">
        <f>S22/Q25</f>
        <v>0</v>
      </c>
      <c r="T30" s="57" t="e">
        <f>T22</f>
        <v>#DIV/0!</v>
      </c>
    </row>
    <row r="31" spans="1:26" x14ac:dyDescent="0.2">
      <c r="I31" s="7"/>
      <c r="J31" s="17"/>
      <c r="K31" s="1"/>
      <c r="M31" s="7"/>
      <c r="N31" s="17"/>
      <c r="Q31" s="6"/>
      <c r="R31" s="33"/>
      <c r="S31" s="33"/>
      <c r="T31" s="33"/>
    </row>
    <row r="32" spans="1:26" ht="17" thickBot="1" x14ac:dyDescent="0.25">
      <c r="I32" s="7"/>
      <c r="J32" s="17"/>
      <c r="K32" s="1"/>
      <c r="M32" s="7"/>
      <c r="N32" s="17"/>
      <c r="Q32" s="6"/>
      <c r="R32" s="33"/>
      <c r="S32" s="33"/>
      <c r="T32" s="33"/>
    </row>
    <row r="33" spans="9:20" ht="17" thickBot="1" x14ac:dyDescent="0.25">
      <c r="I33" s="7"/>
      <c r="J33" s="6"/>
      <c r="K33" s="1"/>
      <c r="M33" s="7"/>
      <c r="N33" s="6"/>
      <c r="P33" s="137" t="s">
        <v>102</v>
      </c>
      <c r="Q33" s="138"/>
      <c r="R33" s="139"/>
      <c r="S33" s="139"/>
      <c r="T33" s="140"/>
    </row>
    <row r="34" spans="9:20" x14ac:dyDescent="0.2">
      <c r="I34" s="1"/>
      <c r="J34" s="1"/>
      <c r="K34" s="1"/>
      <c r="P34" s="65" t="s">
        <v>44</v>
      </c>
      <c r="Q34" s="59" t="s">
        <v>45</v>
      </c>
      <c r="R34" s="60" t="s">
        <v>8</v>
      </c>
      <c r="S34" s="60" t="s">
        <v>46</v>
      </c>
      <c r="T34" s="61"/>
    </row>
    <row r="35" spans="9:20" ht="17" thickBot="1" x14ac:dyDescent="0.25">
      <c r="I35" s="1"/>
      <c r="J35" s="12"/>
      <c r="K35" s="1"/>
      <c r="P35" s="66" t="s">
        <v>47</v>
      </c>
      <c r="Q35" s="62" t="s">
        <v>48</v>
      </c>
      <c r="R35" s="63"/>
      <c r="S35" s="63"/>
      <c r="T35" s="64"/>
    </row>
    <row r="36" spans="9:20" x14ac:dyDescent="0.2">
      <c r="I36" s="1"/>
      <c r="J36" s="12"/>
      <c r="K36" s="1"/>
    </row>
    <row r="37" spans="9:20" x14ac:dyDescent="0.2">
      <c r="I37" s="1"/>
      <c r="J37" s="12"/>
      <c r="K37" s="1"/>
    </row>
    <row r="38" spans="9:20" x14ac:dyDescent="0.2">
      <c r="I38" s="1"/>
      <c r="J38" s="6"/>
      <c r="K38" s="1"/>
      <c r="P38" s="124" t="s">
        <v>96</v>
      </c>
      <c r="Q38" s="125">
        <f>(M11+M12)/(J11+J12)</f>
        <v>5.161290322580645</v>
      </c>
      <c r="R38" s="126"/>
      <c r="S38" s="126"/>
      <c r="T38" s="127"/>
    </row>
    <row r="39" spans="9:20" x14ac:dyDescent="0.2">
      <c r="I39" s="1"/>
      <c r="J39" s="1"/>
      <c r="K39" s="1"/>
      <c r="P39" s="128" t="s">
        <v>97</v>
      </c>
      <c r="Q39" s="12">
        <f>180*ATAN(Q38)/PI()</f>
        <v>79.034803314862089</v>
      </c>
      <c r="R39" t="s">
        <v>0</v>
      </c>
      <c r="T39" s="129"/>
    </row>
    <row r="40" spans="9:20" x14ac:dyDescent="0.2">
      <c r="I40" s="1"/>
      <c r="J40" s="1"/>
      <c r="K40" s="1"/>
      <c r="P40" s="130" t="s">
        <v>98</v>
      </c>
      <c r="Q40" s="131">
        <f>COS(Q39*PI()/180)</f>
        <v>0.19021268802116292</v>
      </c>
      <c r="R40" s="132"/>
      <c r="S40" s="132"/>
      <c r="T40" s="133"/>
    </row>
    <row r="41" spans="9:20" x14ac:dyDescent="0.2">
      <c r="I41" s="1"/>
      <c r="J41" s="1"/>
      <c r="K41" s="1"/>
    </row>
    <row r="42" spans="9:20" x14ac:dyDescent="0.2">
      <c r="I42" s="1"/>
      <c r="J42" s="1"/>
      <c r="K42" s="1"/>
    </row>
    <row r="43" spans="9:20" x14ac:dyDescent="0.2">
      <c r="N43"/>
      <c r="O43"/>
      <c r="P43"/>
      <c r="Q43"/>
    </row>
    <row r="44" spans="9:20" x14ac:dyDescent="0.2">
      <c r="N44"/>
      <c r="O44"/>
      <c r="P44"/>
      <c r="Q44"/>
    </row>
    <row r="45" spans="9:20" x14ac:dyDescent="0.2">
      <c r="N45"/>
      <c r="O45"/>
      <c r="P45"/>
      <c r="Q45"/>
    </row>
    <row r="46" spans="9:20" x14ac:dyDescent="0.2">
      <c r="N46"/>
      <c r="O46"/>
      <c r="P46"/>
      <c r="Q46"/>
    </row>
    <row r="47" spans="9:20" x14ac:dyDescent="0.2">
      <c r="N47"/>
      <c r="O47"/>
      <c r="P47"/>
      <c r="Q47"/>
    </row>
    <row r="49" spans="2:20" x14ac:dyDescent="0.2">
      <c r="G49" s="15"/>
      <c r="M49" s="1"/>
    </row>
    <row r="50" spans="2:20" x14ac:dyDescent="0.2">
      <c r="B50" s="14"/>
      <c r="G50" s="15"/>
      <c r="I50" s="1"/>
      <c r="J50" s="1"/>
      <c r="K50" s="1"/>
      <c r="M50" s="1"/>
    </row>
    <row r="51" spans="2:20" x14ac:dyDescent="0.2">
      <c r="I51" s="1"/>
      <c r="J51" s="12"/>
      <c r="K51" s="12"/>
      <c r="M51" s="16"/>
      <c r="N51" s="12"/>
      <c r="O51" s="12"/>
      <c r="P51" s="12"/>
    </row>
    <row r="52" spans="2:20" x14ac:dyDescent="0.2">
      <c r="I52" s="1"/>
      <c r="J52" s="12"/>
      <c r="K52" s="12"/>
    </row>
    <row r="53" spans="2:20" x14ac:dyDescent="0.2">
      <c r="I53" s="1"/>
      <c r="J53" s="12"/>
      <c r="K53" s="12"/>
      <c r="N53"/>
      <c r="O53"/>
      <c r="P53"/>
    </row>
    <row r="54" spans="2:20" x14ac:dyDescent="0.2">
      <c r="I54" s="1"/>
      <c r="J54" s="12"/>
      <c r="K54" s="12"/>
      <c r="N54"/>
      <c r="O54"/>
      <c r="P54"/>
    </row>
    <row r="55" spans="2:20" x14ac:dyDescent="0.2">
      <c r="I55" s="1"/>
      <c r="J55" s="1"/>
      <c r="K55" s="1"/>
    </row>
    <row r="56" spans="2:20" x14ac:dyDescent="0.2">
      <c r="I56" s="1"/>
      <c r="J56" s="1"/>
      <c r="K56" s="1"/>
    </row>
    <row r="57" spans="2:20" x14ac:dyDescent="0.2">
      <c r="I57" s="1"/>
      <c r="J57" s="1"/>
      <c r="K57" s="1"/>
    </row>
    <row r="58" spans="2:20" x14ac:dyDescent="0.2">
      <c r="I58" s="1"/>
      <c r="M58" s="16"/>
      <c r="P58" s="12"/>
      <c r="T58" s="16"/>
    </row>
    <row r="59" spans="2:20" x14ac:dyDescent="0.2">
      <c r="I59" s="1"/>
      <c r="M59" s="16"/>
      <c r="P59" s="12"/>
    </row>
    <row r="60" spans="2:20" x14ac:dyDescent="0.2">
      <c r="I60" s="1"/>
      <c r="J60" s="1"/>
      <c r="K60" s="1"/>
      <c r="N60"/>
      <c r="O60"/>
      <c r="P60"/>
      <c r="Q60"/>
    </row>
    <row r="61" spans="2:20" x14ac:dyDescent="0.2">
      <c r="I61" s="1"/>
      <c r="J61" s="1"/>
      <c r="K61" s="1"/>
      <c r="N61"/>
      <c r="O61"/>
      <c r="P61"/>
      <c r="Q61"/>
    </row>
    <row r="62" spans="2:20" x14ac:dyDescent="0.2">
      <c r="I62" s="1"/>
      <c r="J62" s="1"/>
      <c r="K62" s="1"/>
      <c r="N62"/>
      <c r="O62"/>
      <c r="P62"/>
      <c r="Q62"/>
    </row>
    <row r="63" spans="2:20" x14ac:dyDescent="0.2">
      <c r="I63" s="1"/>
      <c r="J63" s="1"/>
      <c r="K63" s="1"/>
      <c r="N63"/>
      <c r="O63"/>
      <c r="P63"/>
      <c r="Q63"/>
    </row>
    <row r="64" spans="2:20" x14ac:dyDescent="0.2">
      <c r="I64" s="1"/>
      <c r="J64" s="1"/>
      <c r="K64" s="1"/>
    </row>
    <row r="65" spans="9:16" x14ac:dyDescent="0.2">
      <c r="M65" s="1"/>
    </row>
    <row r="66" spans="9:16" x14ac:dyDescent="0.2">
      <c r="I66" s="1"/>
      <c r="J66" s="1"/>
      <c r="K66" s="1"/>
      <c r="M66" s="1"/>
    </row>
    <row r="67" spans="9:16" x14ac:dyDescent="0.2">
      <c r="I67" s="1"/>
      <c r="J67" s="6"/>
      <c r="K67" s="6"/>
      <c r="M67" s="16"/>
      <c r="N67" s="12"/>
      <c r="O67" s="12"/>
      <c r="P67" s="12"/>
    </row>
    <row r="68" spans="9:16" x14ac:dyDescent="0.2">
      <c r="I68" s="12"/>
    </row>
    <row r="69" spans="9:16" x14ac:dyDescent="0.2">
      <c r="I69" s="12"/>
      <c r="N69"/>
      <c r="O69"/>
      <c r="P69"/>
    </row>
    <row r="70" spans="9:16" x14ac:dyDescent="0.2">
      <c r="N70"/>
      <c r="O70"/>
      <c r="P70"/>
    </row>
    <row r="72" spans="9:16" x14ac:dyDescent="0.2">
      <c r="I72" s="1"/>
      <c r="J72" s="1"/>
      <c r="K72" s="1"/>
    </row>
    <row r="73" spans="9:16" x14ac:dyDescent="0.2">
      <c r="M73" s="1"/>
    </row>
    <row r="74" spans="9:16" x14ac:dyDescent="0.2">
      <c r="I74" s="1"/>
      <c r="J74" s="1"/>
      <c r="K74" s="1"/>
      <c r="M74" s="1"/>
    </row>
    <row r="75" spans="9:16" x14ac:dyDescent="0.2">
      <c r="I75" s="1"/>
      <c r="J75" s="12"/>
      <c r="K75" s="12"/>
      <c r="M75" s="16"/>
      <c r="N75" s="12"/>
      <c r="O75" s="12"/>
      <c r="P75" s="12"/>
    </row>
    <row r="76" spans="9:16" x14ac:dyDescent="0.2">
      <c r="I76" s="12"/>
    </row>
    <row r="77" spans="9:16" x14ac:dyDescent="0.2">
      <c r="I77" s="12"/>
      <c r="N77"/>
      <c r="O77"/>
      <c r="P77"/>
    </row>
    <row r="78" spans="9:16" x14ac:dyDescent="0.2">
      <c r="N78"/>
      <c r="O78"/>
      <c r="P78"/>
    </row>
    <row r="79" spans="9:16" x14ac:dyDescent="0.2">
      <c r="I79" s="1"/>
      <c r="J79" s="1"/>
      <c r="K79" s="1"/>
    </row>
    <row r="80" spans="9:16" x14ac:dyDescent="0.2">
      <c r="I80" s="7"/>
      <c r="J80" s="17"/>
      <c r="K80" s="1"/>
      <c r="L80" s="17"/>
    </row>
    <row r="81" spans="1:48" x14ac:dyDescent="0.2">
      <c r="I81" s="7"/>
      <c r="J81" s="17"/>
      <c r="K81" s="1"/>
      <c r="Q81" s="5"/>
    </row>
    <row r="82" spans="1:48" s="1" customFormat="1" x14ac:dyDescent="0.2">
      <c r="A82"/>
      <c r="B82"/>
      <c r="C82"/>
      <c r="D82"/>
      <c r="E82"/>
      <c r="F82"/>
      <c r="G82" s="7"/>
      <c r="H82" s="26"/>
      <c r="I82" s="7"/>
      <c r="J82" s="17"/>
      <c r="L82"/>
      <c r="M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</row>
    <row r="83" spans="1:48" s="1" customFormat="1" x14ac:dyDescent="0.2">
      <c r="A83"/>
      <c r="B83"/>
      <c r="C83"/>
      <c r="D83"/>
      <c r="E83"/>
      <c r="F83"/>
      <c r="G83" s="7"/>
      <c r="H83" s="26"/>
      <c r="I83" s="7"/>
      <c r="J83" s="6"/>
      <c r="L83"/>
      <c r="M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</row>
  </sheetData>
  <pageMargins left="0.75" right="0.75" top="1" bottom="1" header="0.51180555555555496" footer="0.51180555555555496"/>
  <pageSetup paperSize="9" firstPageNumber="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D27" sqref="D27"/>
    </sheetView>
  </sheetViews>
  <sheetFormatPr baseColWidth="10" defaultRowHeight="16" x14ac:dyDescent="0.2"/>
  <cols>
    <col min="1" max="1" width="12.6640625" style="26" customWidth="1"/>
    <col min="2" max="2" width="12.1640625" style="26" customWidth="1"/>
    <col min="3" max="3" width="10.6640625" style="26"/>
    <col min="4" max="4" width="10.6640625" style="1"/>
  </cols>
  <sheetData>
    <row r="1" spans="1:6" ht="17" thickBot="1" x14ac:dyDescent="0.25">
      <c r="A1" s="95" t="s">
        <v>73</v>
      </c>
      <c r="C1" s="26" t="s">
        <v>61</v>
      </c>
      <c r="D1" s="26" t="s">
        <v>62</v>
      </c>
      <c r="F1" s="41" t="s">
        <v>73</v>
      </c>
    </row>
    <row r="2" spans="1:6" ht="17" thickBot="1" x14ac:dyDescent="0.25">
      <c r="A2" s="26" t="s">
        <v>74</v>
      </c>
      <c r="C2" s="107">
        <v>65</v>
      </c>
      <c r="D2" s="108">
        <v>100</v>
      </c>
    </row>
    <row r="3" spans="1:6" x14ac:dyDescent="0.2">
      <c r="A3" s="26" t="s">
        <v>75</v>
      </c>
      <c r="C3" s="96">
        <v>220</v>
      </c>
      <c r="D3" s="1">
        <f>C3</f>
        <v>220</v>
      </c>
    </row>
    <row r="4" spans="1:6" x14ac:dyDescent="0.2">
      <c r="A4" s="26" t="s">
        <v>76</v>
      </c>
      <c r="C4" s="96">
        <v>490</v>
      </c>
      <c r="D4" s="1">
        <f>C4</f>
        <v>490</v>
      </c>
    </row>
    <row r="5" spans="1:6" x14ac:dyDescent="0.2">
      <c r="A5" s="26" t="s">
        <v>77</v>
      </c>
      <c r="C5" s="33">
        <f>C4/(SQRT(3)*C3)</f>
        <v>1.2859165086496211</v>
      </c>
      <c r="D5" s="33">
        <f>D4/(SQRT(3)*D3)</f>
        <v>1.2859165086496211</v>
      </c>
    </row>
    <row r="6" spans="1:6" x14ac:dyDescent="0.2">
      <c r="A6" s="41" t="s">
        <v>79</v>
      </c>
      <c r="C6" s="96">
        <v>21.9</v>
      </c>
      <c r="D6" s="1">
        <f>C6</f>
        <v>21.9</v>
      </c>
    </row>
    <row r="7" spans="1:6" x14ac:dyDescent="0.2">
      <c r="A7" s="41" t="s">
        <v>78</v>
      </c>
      <c r="C7" s="96">
        <v>2</v>
      </c>
      <c r="D7" s="1">
        <f>C7</f>
        <v>2</v>
      </c>
    </row>
    <row r="8" spans="1:6" x14ac:dyDescent="0.2">
      <c r="A8" s="41" t="s">
        <v>80</v>
      </c>
      <c r="C8" s="94">
        <f>C6^2*PI()*C7/4</f>
        <v>753.36962629410027</v>
      </c>
      <c r="D8" s="94">
        <f>D6^2*PI()*D7/4</f>
        <v>753.36962629410027</v>
      </c>
    </row>
    <row r="9" spans="1:6" x14ac:dyDescent="0.2">
      <c r="A9" s="41" t="s">
        <v>81</v>
      </c>
      <c r="C9" s="33">
        <f>1000*C5/C8</f>
        <v>1.7068865849757864</v>
      </c>
      <c r="D9" s="33">
        <f>1000*D5/D8</f>
        <v>1.7068865849757864</v>
      </c>
    </row>
    <row r="10" spans="1:6" x14ac:dyDescent="0.2">
      <c r="A10" s="26" t="s">
        <v>82</v>
      </c>
      <c r="C10" s="96">
        <v>6.2E-2</v>
      </c>
      <c r="D10" s="1">
        <f>C10</f>
        <v>6.2E-2</v>
      </c>
    </row>
    <row r="11" spans="1:6" x14ac:dyDescent="0.2">
      <c r="A11" s="26" t="s">
        <v>83</v>
      </c>
      <c r="C11" s="96">
        <v>0.32</v>
      </c>
      <c r="D11" s="1">
        <f t="shared" ref="D11:D13" si="0">C11</f>
        <v>0.32</v>
      </c>
    </row>
    <row r="12" spans="1:6" x14ac:dyDescent="0.2">
      <c r="A12" s="26" t="s">
        <v>84</v>
      </c>
      <c r="C12" s="96">
        <v>11.5</v>
      </c>
      <c r="D12" s="1">
        <f t="shared" si="0"/>
        <v>11.5</v>
      </c>
    </row>
    <row r="13" spans="1:6" x14ac:dyDescent="0.2">
      <c r="A13" s="26" t="s">
        <v>85</v>
      </c>
      <c r="C13" s="96">
        <v>300</v>
      </c>
      <c r="D13" s="1">
        <f t="shared" si="0"/>
        <v>300</v>
      </c>
    </row>
    <row r="14" spans="1:6" ht="17" thickBot="1" x14ac:dyDescent="0.25">
      <c r="A14" s="26" t="s">
        <v>86</v>
      </c>
      <c r="C14" s="94">
        <f>C3^2/C13</f>
        <v>161.33333333333334</v>
      </c>
      <c r="D14" s="94">
        <f>D3^2/D13</f>
        <v>161.33333333333334</v>
      </c>
    </row>
    <row r="15" spans="1:6" x14ac:dyDescent="0.2">
      <c r="A15" s="97" t="s">
        <v>87</v>
      </c>
      <c r="B15" s="90"/>
      <c r="C15" s="101">
        <f>C10*C2</f>
        <v>4.03</v>
      </c>
      <c r="D15" s="102">
        <f>D10*D2</f>
        <v>6.2</v>
      </c>
    </row>
    <row r="16" spans="1:6" x14ac:dyDescent="0.2">
      <c r="A16" s="98" t="s">
        <v>88</v>
      </c>
      <c r="C16" s="103">
        <f>C11*C2</f>
        <v>20.8</v>
      </c>
      <c r="D16" s="104">
        <f>D11*D2</f>
        <v>32</v>
      </c>
    </row>
    <row r="17" spans="1:4" ht="17" thickBot="1" x14ac:dyDescent="0.25">
      <c r="A17" s="99" t="s">
        <v>89</v>
      </c>
      <c r="B17" s="100"/>
      <c r="C17" s="141">
        <f>C2*C12/100</f>
        <v>7.4749999999999996</v>
      </c>
      <c r="D17" s="105">
        <f>D2*D12/100</f>
        <v>11.5</v>
      </c>
    </row>
  </sheetData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workbookViewId="0">
      <selection activeCell="E35" sqref="E35"/>
    </sheetView>
  </sheetViews>
  <sheetFormatPr baseColWidth="10" defaultRowHeight="16" x14ac:dyDescent="0.2"/>
  <cols>
    <col min="1" max="1" width="12.6640625" style="26" customWidth="1"/>
    <col min="2" max="2" width="12.1640625" style="26" customWidth="1"/>
    <col min="3" max="3" width="11.1640625" style="26"/>
    <col min="4" max="5" width="11.1640625" style="1"/>
  </cols>
  <sheetData>
    <row r="1" spans="1:6" ht="17" thickBot="1" x14ac:dyDescent="0.25">
      <c r="A1" s="95" t="s">
        <v>73</v>
      </c>
      <c r="C1" s="26" t="s">
        <v>61</v>
      </c>
      <c r="D1" s="26" t="s">
        <v>62</v>
      </c>
      <c r="E1" s="26"/>
      <c r="F1" s="41" t="s">
        <v>73</v>
      </c>
    </row>
    <row r="2" spans="1:6" ht="17" thickBot="1" x14ac:dyDescent="0.25">
      <c r="A2" s="26" t="s">
        <v>74</v>
      </c>
      <c r="C2" s="107">
        <v>100</v>
      </c>
      <c r="D2" s="108">
        <v>180</v>
      </c>
    </row>
    <row r="3" spans="1:6" x14ac:dyDescent="0.2">
      <c r="A3" s="26" t="s">
        <v>75</v>
      </c>
      <c r="C3" s="96">
        <v>380</v>
      </c>
      <c r="D3" s="1">
        <f>C3</f>
        <v>380</v>
      </c>
    </row>
    <row r="4" spans="1:6" x14ac:dyDescent="0.2">
      <c r="A4" s="26" t="s">
        <v>76</v>
      </c>
      <c r="C4" s="96">
        <v>1700</v>
      </c>
      <c r="D4" s="1">
        <f>C4</f>
        <v>1700</v>
      </c>
    </row>
    <row r="5" spans="1:6" x14ac:dyDescent="0.2">
      <c r="A5" s="26" t="s">
        <v>77</v>
      </c>
      <c r="C5" s="33">
        <f>C4/(SQRT(3)*C3)</f>
        <v>2.5828827832167471</v>
      </c>
      <c r="D5" s="33">
        <f>D4/(SQRT(3)*D3)</f>
        <v>2.5828827832167471</v>
      </c>
      <c r="E5" s="33"/>
    </row>
    <row r="6" spans="1:6" x14ac:dyDescent="0.2">
      <c r="A6" s="41" t="s">
        <v>79</v>
      </c>
      <c r="C6" s="96">
        <v>21.9</v>
      </c>
      <c r="D6" s="1">
        <f>C6</f>
        <v>21.9</v>
      </c>
    </row>
    <row r="7" spans="1:6" x14ac:dyDescent="0.2">
      <c r="A7" s="41" t="s">
        <v>78</v>
      </c>
      <c r="C7" s="96">
        <v>4</v>
      </c>
      <c r="D7" s="1">
        <f>C7</f>
        <v>4</v>
      </c>
    </row>
    <row r="8" spans="1:6" x14ac:dyDescent="0.2">
      <c r="A8" s="41" t="s">
        <v>80</v>
      </c>
      <c r="C8" s="94">
        <f>C6^2*PI()*C7/4</f>
        <v>1506.7392525882005</v>
      </c>
      <c r="D8" s="94">
        <f>D6^2*PI()*D7/4</f>
        <v>1506.7392525882005</v>
      </c>
      <c r="E8" s="94"/>
    </row>
    <row r="9" spans="1:6" x14ac:dyDescent="0.2">
      <c r="A9" s="41" t="s">
        <v>81</v>
      </c>
      <c r="C9" s="33">
        <f>1000*C5/C8</f>
        <v>1.7142201471024276</v>
      </c>
      <c r="D9" s="33">
        <f>1000*D5/D8</f>
        <v>1.7142201471024276</v>
      </c>
      <c r="E9" s="33"/>
    </row>
    <row r="10" spans="1:6" x14ac:dyDescent="0.2">
      <c r="A10" s="26" t="s">
        <v>82</v>
      </c>
      <c r="C10" s="96">
        <v>3.1E-2</v>
      </c>
      <c r="D10" s="1">
        <f>C10</f>
        <v>3.1E-2</v>
      </c>
    </row>
    <row r="11" spans="1:6" x14ac:dyDescent="0.2">
      <c r="A11" s="26" t="s">
        <v>83</v>
      </c>
      <c r="C11" s="96">
        <v>0.26</v>
      </c>
      <c r="D11" s="1">
        <f t="shared" ref="D11:D13" si="0">C11</f>
        <v>0.26</v>
      </c>
    </row>
    <row r="12" spans="1:6" x14ac:dyDescent="0.2">
      <c r="A12" s="26" t="s">
        <v>84</v>
      </c>
      <c r="C12" s="96">
        <v>14.4</v>
      </c>
      <c r="D12" s="1">
        <f t="shared" si="0"/>
        <v>14.4</v>
      </c>
    </row>
    <row r="13" spans="1:6" x14ac:dyDescent="0.2">
      <c r="A13" s="26" t="s">
        <v>85</v>
      </c>
      <c r="C13" s="96">
        <v>240</v>
      </c>
      <c r="D13" s="1">
        <f t="shared" si="0"/>
        <v>240</v>
      </c>
    </row>
    <row r="14" spans="1:6" ht="17" thickBot="1" x14ac:dyDescent="0.25">
      <c r="A14" s="26" t="s">
        <v>86</v>
      </c>
      <c r="C14" s="94">
        <f>C3^2/C13</f>
        <v>601.66666666666663</v>
      </c>
      <c r="D14" s="94">
        <f>D3^2/D13</f>
        <v>601.66666666666663</v>
      </c>
      <c r="E14" s="94"/>
    </row>
    <row r="15" spans="1:6" x14ac:dyDescent="0.2">
      <c r="A15" s="97" t="s">
        <v>87</v>
      </c>
      <c r="B15" s="90"/>
      <c r="C15" s="101">
        <f>C10*C2</f>
        <v>3.1</v>
      </c>
      <c r="D15" s="102">
        <f>D10*D2</f>
        <v>5.58</v>
      </c>
      <c r="E15" s="26"/>
    </row>
    <row r="16" spans="1:6" x14ac:dyDescent="0.2">
      <c r="A16" s="98" t="s">
        <v>88</v>
      </c>
      <c r="C16" s="103">
        <f>C11*C2</f>
        <v>26</v>
      </c>
      <c r="D16" s="104">
        <f>D11*D2</f>
        <v>46.800000000000004</v>
      </c>
      <c r="E16" s="26"/>
    </row>
    <row r="17" spans="1:5" ht="17" thickBot="1" x14ac:dyDescent="0.25">
      <c r="A17" s="99" t="s">
        <v>89</v>
      </c>
      <c r="B17" s="100"/>
      <c r="C17" s="141">
        <f>C2*C12/100</f>
        <v>14.4</v>
      </c>
      <c r="D17" s="105">
        <f>D2*D12/100</f>
        <v>25.92</v>
      </c>
      <c r="E17" s="26"/>
    </row>
    <row r="18" spans="1:5" ht="17" thickBot="1" x14ac:dyDescent="0.25"/>
    <row r="19" spans="1:5" ht="17" thickBot="1" x14ac:dyDescent="0.25">
      <c r="A19" s="158" t="s">
        <v>141</v>
      </c>
      <c r="B19" s="206"/>
      <c r="C19" s="207">
        <f>C5*C5*C16</f>
        <v>173.45337026777474</v>
      </c>
      <c r="D19" s="208">
        <f>D5*D5*D16</f>
        <v>312.21606648199457</v>
      </c>
      <c r="E19" s="94"/>
    </row>
    <row r="21" spans="1:5" x14ac:dyDescent="0.2">
      <c r="A21" s="209"/>
      <c r="B21" s="210"/>
      <c r="C21" s="210"/>
      <c r="D21" s="211"/>
    </row>
    <row r="22" spans="1:5" x14ac:dyDescent="0.2">
      <c r="A22" s="210"/>
      <c r="B22" s="210"/>
      <c r="C22" s="210"/>
      <c r="D22" s="211"/>
    </row>
    <row r="23" spans="1:5" x14ac:dyDescent="0.2">
      <c r="A23" s="210"/>
      <c r="B23" s="210"/>
      <c r="C23" s="212"/>
      <c r="D23" s="211"/>
    </row>
    <row r="24" spans="1:5" x14ac:dyDescent="0.2">
      <c r="A24" s="210"/>
      <c r="B24" s="210"/>
      <c r="C24" s="213"/>
      <c r="D24" s="211"/>
    </row>
    <row r="25" spans="1:5" x14ac:dyDescent="0.2">
      <c r="A25" s="210"/>
      <c r="B25" s="210"/>
      <c r="C25" s="214"/>
      <c r="D25" s="214"/>
      <c r="E25" s="94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UPFC_220kV</vt:lpstr>
      <vt:lpstr>Computer</vt:lpstr>
      <vt:lpstr>Dimensionierung auf 220kV</vt:lpstr>
      <vt:lpstr>Dimensionionierung auf 380kV</vt:lpstr>
    </vt:vector>
  </TitlesOfParts>
  <Company>DHBW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 Rupp</dc:creator>
  <dc:description/>
  <cp:lastModifiedBy>Stephan</cp:lastModifiedBy>
  <cp:revision>5</cp:revision>
  <cp:lastPrinted>2018-08-14T14:16:39Z</cp:lastPrinted>
  <dcterms:created xsi:type="dcterms:W3CDTF">2014-06-21T13:14:59Z</dcterms:created>
  <dcterms:modified xsi:type="dcterms:W3CDTF">2023-07-01T09:12:36Z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DHBW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