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an/Library/Mobile Documents/com~apple~CloudDocs/DHBW/1M_Planung_und_Analyse von Netzen/Teil_2/"/>
    </mc:Choice>
  </mc:AlternateContent>
  <xr:revisionPtr revIDLastSave="0" documentId="13_ncr:1_{0E309EA3-E8F8-3843-A823-69CC11642CDF}" xr6:coauthVersionLast="47" xr6:coauthVersionMax="47" xr10:uidLastSave="{00000000-0000-0000-0000-000000000000}"/>
  <bookViews>
    <workbookView xWindow="2340" yWindow="4040" windowWidth="56020" windowHeight="34280" activeTab="3" xr2:uid="{9A482CF1-9E23-774C-A826-FC2E1F22FC2A}"/>
  </bookViews>
  <sheets>
    <sheet name="Kenngößen_380kV" sheetId="1" r:id="rId1"/>
    <sheet name="Freileitung_380kV" sheetId="2" r:id="rId2"/>
    <sheet name="Kabelstrecke_380kV" sheetId="3" r:id="rId3"/>
    <sheet name="Kenngößen_20kV_110kV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4" l="1"/>
  <c r="J24" i="4"/>
  <c r="J23" i="4"/>
  <c r="C57" i="4"/>
  <c r="AE53" i="4"/>
  <c r="AD53" i="4"/>
  <c r="AE52" i="4"/>
  <c r="AD52" i="4"/>
  <c r="AE42" i="4"/>
  <c r="AD42" i="4"/>
  <c r="AE41" i="4"/>
  <c r="AD41" i="4"/>
  <c r="C27" i="4"/>
  <c r="B27" i="4"/>
  <c r="C26" i="4"/>
  <c r="B26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C23" i="4"/>
  <c r="B23" i="4"/>
  <c r="B20" i="4"/>
  <c r="B19" i="4"/>
  <c r="B18" i="4"/>
  <c r="C17" i="4"/>
  <c r="C19" i="4" s="1"/>
  <c r="C12" i="4"/>
  <c r="C11" i="4"/>
  <c r="B11" i="4"/>
  <c r="B12" i="4" s="1"/>
  <c r="C10" i="4"/>
  <c r="C13" i="4" s="1"/>
  <c r="C9" i="4"/>
  <c r="B9" i="4"/>
  <c r="B10" i="4" s="1"/>
  <c r="B13" i="4" s="1"/>
  <c r="C8" i="4"/>
  <c r="B8" i="4"/>
  <c r="D4" i="2"/>
  <c r="D6" i="2"/>
  <c r="D4" i="3"/>
  <c r="B18" i="1"/>
  <c r="D5" i="3"/>
  <c r="D1" i="2"/>
  <c r="J23" i="1"/>
  <c r="B25" i="1"/>
  <c r="AD40" i="1"/>
  <c r="AE40" i="1"/>
  <c r="AD41" i="1"/>
  <c r="AE41" i="1"/>
  <c r="AD51" i="1"/>
  <c r="AE51" i="1"/>
  <c r="AD52" i="1"/>
  <c r="AE52" i="1"/>
  <c r="C17" i="1"/>
  <c r="B26" i="1"/>
  <c r="C2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C20" i="4" l="1"/>
  <c r="R46" i="4" s="1"/>
  <c r="R47" i="4" s="1"/>
  <c r="R48" i="4" s="1"/>
  <c r="R49" i="4" s="1"/>
  <c r="R50" i="4" s="1"/>
  <c r="R51" i="4" s="1"/>
  <c r="O46" i="4"/>
  <c r="O47" i="4" s="1"/>
  <c r="C18" i="4"/>
  <c r="B35" i="4"/>
  <c r="B28" i="4"/>
  <c r="M35" i="4"/>
  <c r="M36" i="4" s="1"/>
  <c r="Q35" i="4"/>
  <c r="Q36" i="4" s="1"/>
  <c r="Q37" i="4" s="1"/>
  <c r="Q38" i="4" s="1"/>
  <c r="Q39" i="4" s="1"/>
  <c r="Q40" i="4" s="1"/>
  <c r="U35" i="4"/>
  <c r="U36" i="4" s="1"/>
  <c r="Y35" i="4"/>
  <c r="Y36" i="4" s="1"/>
  <c r="AC35" i="4"/>
  <c r="AC36" i="4" s="1"/>
  <c r="M37" i="4"/>
  <c r="M38" i="4" s="1"/>
  <c r="M39" i="4" s="1"/>
  <c r="M40" i="4" s="1"/>
  <c r="AC37" i="4"/>
  <c r="AC38" i="4" s="1"/>
  <c r="AC39" i="4" s="1"/>
  <c r="AC40" i="4" s="1"/>
  <c r="Y37" i="4"/>
  <c r="Y38" i="4" s="1"/>
  <c r="Y39" i="4" s="1"/>
  <c r="Y40" i="4" s="1"/>
  <c r="U37" i="4"/>
  <c r="U38" i="4" s="1"/>
  <c r="O48" i="4"/>
  <c r="O49" i="4" s="1"/>
  <c r="U39" i="4"/>
  <c r="U40" i="4" s="1"/>
  <c r="X35" i="4"/>
  <c r="X36" i="4" s="1"/>
  <c r="X37" i="4" s="1"/>
  <c r="X38" i="4" s="1"/>
  <c r="X39" i="4" s="1"/>
  <c r="X40" i="4" s="1"/>
  <c r="I35" i="4"/>
  <c r="I36" i="4" s="1"/>
  <c r="I37" i="4" s="1"/>
  <c r="I38" i="4" s="1"/>
  <c r="I39" i="4" s="1"/>
  <c r="I40" i="4" s="1"/>
  <c r="AB35" i="4"/>
  <c r="AB36" i="4" s="1"/>
  <c r="AB37" i="4" s="1"/>
  <c r="AB38" i="4" s="1"/>
  <c r="AB39" i="4" s="1"/>
  <c r="AB40" i="4" s="1"/>
  <c r="T35" i="4"/>
  <c r="T36" i="4" s="1"/>
  <c r="T37" i="4" s="1"/>
  <c r="T38" i="4" s="1"/>
  <c r="T39" i="4" s="1"/>
  <c r="T40" i="4" s="1"/>
  <c r="L35" i="4"/>
  <c r="L36" i="4" s="1"/>
  <c r="L37" i="4" s="1"/>
  <c r="L38" i="4" s="1"/>
  <c r="L39" i="4" s="1"/>
  <c r="L40" i="4" s="1"/>
  <c r="AA35" i="4"/>
  <c r="AA36" i="4" s="1"/>
  <c r="AA37" i="4" s="1"/>
  <c r="AA38" i="4" s="1"/>
  <c r="AA39" i="4" s="1"/>
  <c r="AA40" i="4" s="1"/>
  <c r="O35" i="4"/>
  <c r="O36" i="4" s="1"/>
  <c r="O37" i="4" s="1"/>
  <c r="O38" i="4" s="1"/>
  <c r="O39" i="4" s="1"/>
  <c r="O40" i="4" s="1"/>
  <c r="P35" i="4"/>
  <c r="P36" i="4" s="1"/>
  <c r="P37" i="4" s="1"/>
  <c r="P38" i="4" s="1"/>
  <c r="P39" i="4" s="1"/>
  <c r="P40" i="4" s="1"/>
  <c r="S35" i="4"/>
  <c r="S36" i="4" s="1"/>
  <c r="S37" i="4" s="1"/>
  <c r="S38" i="4" s="1"/>
  <c r="S39" i="4" s="1"/>
  <c r="S40" i="4" s="1"/>
  <c r="W35" i="4"/>
  <c r="W36" i="4" s="1"/>
  <c r="W37" i="4" s="1"/>
  <c r="W38" i="4" s="1"/>
  <c r="W39" i="4" s="1"/>
  <c r="W40" i="4" s="1"/>
  <c r="J35" i="4"/>
  <c r="J36" i="4" s="1"/>
  <c r="J37" i="4" s="1"/>
  <c r="J38" i="4" s="1"/>
  <c r="J39" i="4" s="1"/>
  <c r="J40" i="4" s="1"/>
  <c r="N35" i="4"/>
  <c r="N36" i="4" s="1"/>
  <c r="N37" i="4" s="1"/>
  <c r="N38" i="4" s="1"/>
  <c r="N39" i="4" s="1"/>
  <c r="N40" i="4" s="1"/>
  <c r="R35" i="4"/>
  <c r="R36" i="4" s="1"/>
  <c r="R37" i="4" s="1"/>
  <c r="R38" i="4" s="1"/>
  <c r="R39" i="4" s="1"/>
  <c r="R40" i="4" s="1"/>
  <c r="V35" i="4"/>
  <c r="V36" i="4" s="1"/>
  <c r="V37" i="4" s="1"/>
  <c r="V38" i="4" s="1"/>
  <c r="V39" i="4" s="1"/>
  <c r="V40" i="4" s="1"/>
  <c r="Z35" i="4"/>
  <c r="Z36" i="4" s="1"/>
  <c r="Z37" i="4" s="1"/>
  <c r="Z38" i="4" s="1"/>
  <c r="Z39" i="4" s="1"/>
  <c r="Z40" i="4" s="1"/>
  <c r="C28" i="4"/>
  <c r="K35" i="4"/>
  <c r="K36" i="4" s="1"/>
  <c r="K37" i="4" s="1"/>
  <c r="K38" i="4" s="1"/>
  <c r="K39" i="4" s="1"/>
  <c r="K40" i="4" s="1"/>
  <c r="O50" i="4"/>
  <c r="O51" i="4" s="1"/>
  <c r="I46" i="4"/>
  <c r="I47" i="4" s="1"/>
  <c r="I48" i="4" s="1"/>
  <c r="I49" i="4" s="1"/>
  <c r="I50" i="4" s="1"/>
  <c r="I51" i="4" s="1"/>
  <c r="T48" i="4"/>
  <c r="T49" i="4" s="1"/>
  <c r="T50" i="4" s="1"/>
  <c r="T51" i="4" s="1"/>
  <c r="AD46" i="4"/>
  <c r="I56" i="4"/>
  <c r="P46" i="4"/>
  <c r="P47" i="4" s="1"/>
  <c r="P48" i="4" s="1"/>
  <c r="P49" i="4" s="1"/>
  <c r="P50" i="4" s="1"/>
  <c r="P51" i="4" s="1"/>
  <c r="AB46" i="4"/>
  <c r="AB47" i="4" s="1"/>
  <c r="AB48" i="4" s="1"/>
  <c r="AB49" i="4" s="1"/>
  <c r="AB50" i="4" s="1"/>
  <c r="AB51" i="4" s="1"/>
  <c r="AE46" i="4"/>
  <c r="L46" i="4"/>
  <c r="L47" i="4" s="1"/>
  <c r="L48" i="4" s="1"/>
  <c r="L49" i="4" s="1"/>
  <c r="L50" i="4" s="1"/>
  <c r="L51" i="4" s="1"/>
  <c r="T46" i="4"/>
  <c r="T47" i="4" s="1"/>
  <c r="X46" i="4"/>
  <c r="X47" i="4" s="1"/>
  <c r="X48" i="4" s="1"/>
  <c r="X49" i="4" s="1"/>
  <c r="X50" i="4" s="1"/>
  <c r="X51" i="4" s="1"/>
  <c r="B46" i="4"/>
  <c r="M46" i="4"/>
  <c r="M47" i="4" s="1"/>
  <c r="M48" i="4" s="1"/>
  <c r="M49" i="4" s="1"/>
  <c r="M50" i="4" s="1"/>
  <c r="M51" i="4" s="1"/>
  <c r="Q46" i="4"/>
  <c r="Q47" i="4" s="1"/>
  <c r="Q48" i="4" s="1"/>
  <c r="Q49" i="4" s="1"/>
  <c r="Q50" i="4" s="1"/>
  <c r="Q51" i="4" s="1"/>
  <c r="U46" i="4"/>
  <c r="U47" i="4" s="1"/>
  <c r="U48" i="4" s="1"/>
  <c r="U49" i="4" s="1"/>
  <c r="U50" i="4" s="1"/>
  <c r="U51" i="4" s="1"/>
  <c r="Y46" i="4"/>
  <c r="Y47" i="4" s="1"/>
  <c r="Y48" i="4" s="1"/>
  <c r="Y49" i="4" s="1"/>
  <c r="Y50" i="4" s="1"/>
  <c r="Y51" i="4" s="1"/>
  <c r="AC46" i="4"/>
  <c r="AC47" i="4" s="1"/>
  <c r="AC48" i="4" s="1"/>
  <c r="AC49" i="4" s="1"/>
  <c r="AC50" i="4" s="1"/>
  <c r="AC51" i="4" s="1"/>
  <c r="D11" i="3"/>
  <c r="H11" i="3" s="1"/>
  <c r="D5" i="2"/>
  <c r="D3" i="3"/>
  <c r="J3" i="3" s="1"/>
  <c r="J4" i="3" s="1"/>
  <c r="J5" i="3" s="1"/>
  <c r="D1" i="3"/>
  <c r="J1" i="3" s="1"/>
  <c r="D3" i="2"/>
  <c r="C71" i="3"/>
  <c r="B71" i="3"/>
  <c r="C70" i="3"/>
  <c r="B70" i="3"/>
  <c r="C69" i="3"/>
  <c r="B69" i="3"/>
  <c r="C68" i="3"/>
  <c r="B68" i="3"/>
  <c r="C67" i="3"/>
  <c r="B67" i="3"/>
  <c r="C66" i="3"/>
  <c r="B66" i="3"/>
  <c r="C65" i="3"/>
  <c r="B65" i="3"/>
  <c r="C64" i="3"/>
  <c r="B64" i="3"/>
  <c r="C63" i="3"/>
  <c r="B63" i="3"/>
  <c r="C62" i="3"/>
  <c r="B62" i="3"/>
  <c r="C61" i="3"/>
  <c r="B61" i="3"/>
  <c r="C60" i="3"/>
  <c r="B60" i="3"/>
  <c r="C59" i="3"/>
  <c r="B59" i="3"/>
  <c r="C58" i="3"/>
  <c r="B58" i="3"/>
  <c r="C57" i="3"/>
  <c r="B57" i="3"/>
  <c r="C56" i="3"/>
  <c r="B56" i="3"/>
  <c r="C55" i="3"/>
  <c r="B55" i="3"/>
  <c r="C54" i="3"/>
  <c r="B54" i="3"/>
  <c r="C53" i="3"/>
  <c r="B53" i="3"/>
  <c r="C52" i="3"/>
  <c r="B52" i="3"/>
  <c r="C51" i="3"/>
  <c r="B51" i="3"/>
  <c r="C50" i="3"/>
  <c r="B50" i="3"/>
  <c r="C49" i="3"/>
  <c r="B49" i="3"/>
  <c r="C48" i="3"/>
  <c r="B48" i="3"/>
  <c r="C47" i="3"/>
  <c r="B47" i="3"/>
  <c r="C46" i="3"/>
  <c r="B46" i="3"/>
  <c r="C45" i="3"/>
  <c r="B45" i="3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J6" i="3"/>
  <c r="G6" i="3"/>
  <c r="C26" i="1"/>
  <c r="C25" i="1"/>
  <c r="W46" i="4" l="1"/>
  <c r="W47" i="4" s="1"/>
  <c r="W48" i="4" s="1"/>
  <c r="W49" i="4" s="1"/>
  <c r="W50" i="4" s="1"/>
  <c r="W51" i="4" s="1"/>
  <c r="V46" i="4"/>
  <c r="V47" i="4" s="1"/>
  <c r="V48" i="4" s="1"/>
  <c r="V49" i="4" s="1"/>
  <c r="V50" i="4" s="1"/>
  <c r="V51" i="4" s="1"/>
  <c r="V54" i="4" s="1"/>
  <c r="AA46" i="4"/>
  <c r="AA47" i="4" s="1"/>
  <c r="AA48" i="4" s="1"/>
  <c r="AA49" i="4" s="1"/>
  <c r="AA50" i="4" s="1"/>
  <c r="AA51" i="4" s="1"/>
  <c r="AA54" i="4" s="1"/>
  <c r="S46" i="4"/>
  <c r="S47" i="4" s="1"/>
  <c r="S48" i="4" s="1"/>
  <c r="S49" i="4" s="1"/>
  <c r="S50" i="4" s="1"/>
  <c r="S51" i="4" s="1"/>
  <c r="S54" i="4" s="1"/>
  <c r="K46" i="4"/>
  <c r="K47" i="4" s="1"/>
  <c r="K48" i="4" s="1"/>
  <c r="K49" i="4" s="1"/>
  <c r="K50" i="4" s="1"/>
  <c r="K51" i="4" s="1"/>
  <c r="N46" i="4"/>
  <c r="N47" i="4" s="1"/>
  <c r="N48" i="4" s="1"/>
  <c r="N49" i="4" s="1"/>
  <c r="N50" i="4" s="1"/>
  <c r="N51" i="4" s="1"/>
  <c r="N54" i="4" s="1"/>
  <c r="Z46" i="4"/>
  <c r="Z47" i="4" s="1"/>
  <c r="Z48" i="4" s="1"/>
  <c r="Z49" i="4" s="1"/>
  <c r="Z50" i="4" s="1"/>
  <c r="Z51" i="4" s="1"/>
  <c r="Z54" i="4" s="1"/>
  <c r="J46" i="4"/>
  <c r="J47" i="4" s="1"/>
  <c r="J48" i="4" s="1"/>
  <c r="J49" i="4" s="1"/>
  <c r="J50" i="4" s="1"/>
  <c r="J51" i="4" s="1"/>
  <c r="J54" i="4" s="1"/>
  <c r="V53" i="4"/>
  <c r="V52" i="4"/>
  <c r="V29" i="4"/>
  <c r="R54" i="4"/>
  <c r="R29" i="4"/>
  <c r="R53" i="4"/>
  <c r="R52" i="4"/>
  <c r="L42" i="4"/>
  <c r="L41" i="4"/>
  <c r="L25" i="4"/>
  <c r="L43" i="4"/>
  <c r="Q43" i="4"/>
  <c r="Q41" i="4"/>
  <c r="Q42" i="4"/>
  <c r="Q25" i="4"/>
  <c r="U53" i="4"/>
  <c r="U52" i="4"/>
  <c r="U29" i="4"/>
  <c r="U54" i="4"/>
  <c r="R43" i="4"/>
  <c r="R25" i="4"/>
  <c r="R42" i="4"/>
  <c r="R41" i="4"/>
  <c r="Q53" i="4"/>
  <c r="Q52" i="4"/>
  <c r="Q54" i="4"/>
  <c r="Q29" i="4"/>
  <c r="AB53" i="4"/>
  <c r="AB52" i="4"/>
  <c r="AB54" i="4"/>
  <c r="AB29" i="4"/>
  <c r="Y53" i="4"/>
  <c r="Y52" i="4"/>
  <c r="Y54" i="4"/>
  <c r="Y29" i="4"/>
  <c r="N43" i="4"/>
  <c r="N42" i="4"/>
  <c r="N41" i="4"/>
  <c r="N25" i="4"/>
  <c r="P42" i="4"/>
  <c r="P41" i="4"/>
  <c r="P25" i="4"/>
  <c r="P43" i="4"/>
  <c r="T42" i="4"/>
  <c r="T41" i="4"/>
  <c r="T25" i="4"/>
  <c r="T43" i="4"/>
  <c r="K42" i="4"/>
  <c r="K41" i="4"/>
  <c r="K43" i="4"/>
  <c r="K25" i="4"/>
  <c r="J53" i="4"/>
  <c r="J52" i="4"/>
  <c r="I43" i="4"/>
  <c r="I41" i="4"/>
  <c r="I42" i="4"/>
  <c r="I25" i="4"/>
  <c r="L53" i="4"/>
  <c r="L52" i="4"/>
  <c r="L54" i="4"/>
  <c r="L29" i="4"/>
  <c r="S53" i="4"/>
  <c r="S52" i="4"/>
  <c r="S29" i="4"/>
  <c r="Z43" i="4"/>
  <c r="Z42" i="4"/>
  <c r="Z25" i="4"/>
  <c r="Z41" i="4"/>
  <c r="J43" i="4"/>
  <c r="J42" i="4"/>
  <c r="J25" i="4"/>
  <c r="J41" i="4"/>
  <c r="O42" i="4"/>
  <c r="O41" i="4"/>
  <c r="O25" i="4"/>
  <c r="O43" i="4"/>
  <c r="X42" i="4"/>
  <c r="X41" i="4"/>
  <c r="X25" i="4"/>
  <c r="X43" i="4"/>
  <c r="X53" i="4"/>
  <c r="X52" i="4"/>
  <c r="X29" i="4"/>
  <c r="X54" i="4"/>
  <c r="S42" i="4"/>
  <c r="S41" i="4"/>
  <c r="S43" i="4"/>
  <c r="S25" i="4"/>
  <c r="AC43" i="4"/>
  <c r="AC42" i="4"/>
  <c r="AC41" i="4"/>
  <c r="AC25" i="4"/>
  <c r="AA53" i="4"/>
  <c r="AA52" i="4"/>
  <c r="AA29" i="4"/>
  <c r="P53" i="4"/>
  <c r="P52" i="4"/>
  <c r="P54" i="4"/>
  <c r="P29" i="4"/>
  <c r="T53" i="4"/>
  <c r="T52" i="4"/>
  <c r="T54" i="4"/>
  <c r="T29" i="4"/>
  <c r="Z53" i="4"/>
  <c r="Z52" i="4"/>
  <c r="I53" i="4"/>
  <c r="I52" i="4"/>
  <c r="I54" i="4"/>
  <c r="I29" i="4"/>
  <c r="V43" i="4"/>
  <c r="V42" i="4"/>
  <c r="V41" i="4"/>
  <c r="V25" i="4"/>
  <c r="W42" i="4"/>
  <c r="W41" i="4"/>
  <c r="W43" i="4"/>
  <c r="W25" i="4"/>
  <c r="Y43" i="4"/>
  <c r="Y41" i="4"/>
  <c r="Y42" i="4"/>
  <c r="Y25" i="4"/>
  <c r="M43" i="4"/>
  <c r="M41" i="4"/>
  <c r="M42" i="4"/>
  <c r="M25" i="4"/>
  <c r="N53" i="4"/>
  <c r="N52" i="4"/>
  <c r="N29" i="4"/>
  <c r="AB42" i="4"/>
  <c r="AB41" i="4"/>
  <c r="AB25" i="4"/>
  <c r="AB43" i="4"/>
  <c r="AC53" i="4"/>
  <c r="AC52" i="4"/>
  <c r="AC54" i="4"/>
  <c r="AC29" i="4"/>
  <c r="U43" i="4"/>
  <c r="U42" i="4"/>
  <c r="U41" i="4"/>
  <c r="U25" i="4"/>
  <c r="W54" i="4"/>
  <c r="W53" i="4"/>
  <c r="W52" i="4"/>
  <c r="W29" i="4"/>
  <c r="AA42" i="4"/>
  <c r="AA41" i="4"/>
  <c r="AA43" i="4"/>
  <c r="AA25" i="4"/>
  <c r="M53" i="4"/>
  <c r="M52" i="4"/>
  <c r="M29" i="4"/>
  <c r="M54" i="4"/>
  <c r="O54" i="4"/>
  <c r="O53" i="4"/>
  <c r="O52" i="4"/>
  <c r="O29" i="4"/>
  <c r="K54" i="4"/>
  <c r="K53" i="4"/>
  <c r="K52" i="4"/>
  <c r="K29" i="4"/>
  <c r="B47" i="4"/>
  <c r="F46" i="4"/>
  <c r="G46" i="4" s="1"/>
  <c r="E46" i="4"/>
  <c r="B36" i="4"/>
  <c r="E35" i="4"/>
  <c r="F35" i="4"/>
  <c r="G35" i="4" s="1"/>
  <c r="G5" i="3"/>
  <c r="I11" i="3"/>
  <c r="J11" i="3" s="1"/>
  <c r="F11" i="3"/>
  <c r="G11" i="3" s="1"/>
  <c r="C71" i="2"/>
  <c r="B71" i="2"/>
  <c r="C70" i="2"/>
  <c r="B70" i="2"/>
  <c r="C69" i="2"/>
  <c r="B69" i="2"/>
  <c r="C68" i="2"/>
  <c r="B68" i="2"/>
  <c r="C67" i="2"/>
  <c r="B67" i="2"/>
  <c r="C66" i="2"/>
  <c r="B66" i="2"/>
  <c r="C65" i="2"/>
  <c r="B65" i="2"/>
  <c r="C64" i="2"/>
  <c r="B64" i="2"/>
  <c r="C63" i="2"/>
  <c r="B63" i="2"/>
  <c r="C62" i="2"/>
  <c r="B62" i="2"/>
  <c r="C61" i="2"/>
  <c r="B61" i="2"/>
  <c r="C60" i="2"/>
  <c r="B60" i="2"/>
  <c r="C59" i="2"/>
  <c r="B59" i="2"/>
  <c r="C58" i="2"/>
  <c r="B58" i="2"/>
  <c r="C57" i="2"/>
  <c r="B57" i="2"/>
  <c r="C56" i="2"/>
  <c r="B56" i="2"/>
  <c r="C55" i="2"/>
  <c r="B55" i="2"/>
  <c r="C54" i="2"/>
  <c r="B54" i="2"/>
  <c r="C53" i="2"/>
  <c r="B53" i="2"/>
  <c r="C52" i="2"/>
  <c r="B52" i="2"/>
  <c r="C51" i="2"/>
  <c r="B51" i="2"/>
  <c r="C50" i="2"/>
  <c r="B50" i="2"/>
  <c r="C49" i="2"/>
  <c r="B49" i="2"/>
  <c r="C48" i="2"/>
  <c r="B48" i="2"/>
  <c r="C47" i="2"/>
  <c r="B47" i="2"/>
  <c r="C46" i="2"/>
  <c r="B46" i="2"/>
  <c r="C45" i="2"/>
  <c r="B45" i="2"/>
  <c r="C44" i="2"/>
  <c r="B44" i="2"/>
  <c r="C43" i="2"/>
  <c r="B43" i="2"/>
  <c r="C42" i="2"/>
  <c r="B42" i="2"/>
  <c r="C41" i="2"/>
  <c r="B41" i="2"/>
  <c r="C40" i="2"/>
  <c r="B40" i="2"/>
  <c r="C39" i="2"/>
  <c r="B39" i="2"/>
  <c r="C38" i="2"/>
  <c r="B38" i="2"/>
  <c r="C37" i="2"/>
  <c r="B37" i="2"/>
  <c r="C36" i="2"/>
  <c r="B36" i="2"/>
  <c r="C35" i="2"/>
  <c r="B35" i="2"/>
  <c r="C34" i="2"/>
  <c r="B34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D11" i="2"/>
  <c r="F11" i="2" s="1"/>
  <c r="G11" i="2" s="1"/>
  <c r="C11" i="2"/>
  <c r="J6" i="2"/>
  <c r="G6" i="2"/>
  <c r="G5" i="2"/>
  <c r="J3" i="2"/>
  <c r="J4" i="2" s="1"/>
  <c r="J5" i="2" s="1"/>
  <c r="J1" i="2"/>
  <c r="J29" i="4" l="1"/>
  <c r="Z29" i="4"/>
  <c r="O30" i="4"/>
  <c r="O31" i="4"/>
  <c r="U26" i="4"/>
  <c r="U27" i="4"/>
  <c r="M26" i="4"/>
  <c r="M27" i="4"/>
  <c r="I30" i="4"/>
  <c r="I31" i="4"/>
  <c r="AC26" i="4"/>
  <c r="AC27" i="4"/>
  <c r="L31" i="4"/>
  <c r="L30" i="4"/>
  <c r="L32" i="4" s="1"/>
  <c r="K26" i="4"/>
  <c r="K27" i="4"/>
  <c r="AB31" i="4"/>
  <c r="AB30" i="4"/>
  <c r="AB32" i="4" s="1"/>
  <c r="Q30" i="4"/>
  <c r="Q31" i="4"/>
  <c r="Q26" i="4"/>
  <c r="Q27" i="4"/>
  <c r="V31" i="4"/>
  <c r="V30" i="4"/>
  <c r="V32" i="4" s="1"/>
  <c r="K31" i="4"/>
  <c r="K30" i="4"/>
  <c r="K32" i="4" s="1"/>
  <c r="W31" i="4"/>
  <c r="W30" i="4"/>
  <c r="W32" i="4" s="1"/>
  <c r="N31" i="4"/>
  <c r="N30" i="4"/>
  <c r="N32" i="4" s="1"/>
  <c r="V27" i="4"/>
  <c r="V26" i="4"/>
  <c r="V28" i="4" s="1"/>
  <c r="P31" i="4"/>
  <c r="P30" i="4"/>
  <c r="P32" i="4" s="1"/>
  <c r="S31" i="4"/>
  <c r="S30" i="4"/>
  <c r="S32" i="4" s="1"/>
  <c r="O26" i="4"/>
  <c r="O27" i="4"/>
  <c r="T27" i="4"/>
  <c r="T26" i="4"/>
  <c r="T28" i="4" s="1"/>
  <c r="U30" i="4"/>
  <c r="U31" i="4"/>
  <c r="L27" i="4"/>
  <c r="L26" i="4"/>
  <c r="L28" i="4" s="1"/>
  <c r="E36" i="4"/>
  <c r="F36" i="4"/>
  <c r="G36" i="4" s="1"/>
  <c r="B37" i="4"/>
  <c r="AA26" i="4"/>
  <c r="AA27" i="4"/>
  <c r="W26" i="4"/>
  <c r="W28" i="4" s="1"/>
  <c r="W27" i="4"/>
  <c r="T31" i="4"/>
  <c r="T30" i="4"/>
  <c r="S26" i="4"/>
  <c r="S28" i="4" s="1"/>
  <c r="S27" i="4"/>
  <c r="I26" i="4"/>
  <c r="I27" i="4"/>
  <c r="N27" i="4"/>
  <c r="N26" i="4"/>
  <c r="M30" i="4"/>
  <c r="M31" i="4"/>
  <c r="AB27" i="4"/>
  <c r="AB26" i="4"/>
  <c r="X26" i="4"/>
  <c r="X27" i="4"/>
  <c r="Z27" i="4"/>
  <c r="Z26" i="4"/>
  <c r="P26" i="4"/>
  <c r="P27" i="4"/>
  <c r="Z31" i="4"/>
  <c r="Z30" i="4"/>
  <c r="J31" i="4"/>
  <c r="J30" i="4"/>
  <c r="R27" i="4"/>
  <c r="R26" i="4"/>
  <c r="R31" i="4"/>
  <c r="R30" i="4"/>
  <c r="AC30" i="4"/>
  <c r="AC32" i="4" s="1"/>
  <c r="AC31" i="4"/>
  <c r="Y26" i="4"/>
  <c r="Y27" i="4"/>
  <c r="AA30" i="4"/>
  <c r="AA32" i="4" s="1"/>
  <c r="AA31" i="4"/>
  <c r="Y30" i="4"/>
  <c r="Y31" i="4"/>
  <c r="X31" i="4"/>
  <c r="X30" i="4"/>
  <c r="J27" i="4"/>
  <c r="J26" i="4"/>
  <c r="E47" i="4"/>
  <c r="F47" i="4"/>
  <c r="G47" i="4" s="1"/>
  <c r="B48" i="4"/>
  <c r="I11" i="2"/>
  <c r="J11" i="2" s="1"/>
  <c r="H11" i="2"/>
  <c r="J28" i="4" l="1"/>
  <c r="R32" i="4"/>
  <c r="J32" i="4"/>
  <c r="T32" i="4"/>
  <c r="U32" i="4"/>
  <c r="O28" i="4"/>
  <c r="Q28" i="4"/>
  <c r="I32" i="4"/>
  <c r="U28" i="4"/>
  <c r="B49" i="4"/>
  <c r="E48" i="4"/>
  <c r="F48" i="4"/>
  <c r="G48" i="4" s="1"/>
  <c r="Y32" i="4"/>
  <c r="Y28" i="4"/>
  <c r="P28" i="4"/>
  <c r="X28" i="4"/>
  <c r="M32" i="4"/>
  <c r="I28" i="4"/>
  <c r="AA28" i="4"/>
  <c r="X32" i="4"/>
  <c r="R28" i="4"/>
  <c r="Z32" i="4"/>
  <c r="Z28" i="4"/>
  <c r="AB28" i="4"/>
  <c r="N28" i="4"/>
  <c r="E37" i="4"/>
  <c r="F37" i="4"/>
  <c r="G37" i="4" s="1"/>
  <c r="B38" i="4"/>
  <c r="Q32" i="4"/>
  <c r="K28" i="4"/>
  <c r="AC28" i="4"/>
  <c r="M28" i="4"/>
  <c r="O32" i="4"/>
  <c r="B11" i="1"/>
  <c r="C11" i="1"/>
  <c r="C8" i="1"/>
  <c r="B8" i="1"/>
  <c r="C9" i="1"/>
  <c r="C10" i="1" s="1"/>
  <c r="B9" i="1"/>
  <c r="B10" i="1" s="1"/>
  <c r="C20" i="1"/>
  <c r="B45" i="1" s="1"/>
  <c r="B46" i="1" s="1"/>
  <c r="B20" i="1"/>
  <c r="K34" i="1" s="1"/>
  <c r="C19" i="1"/>
  <c r="B19" i="1"/>
  <c r="C18" i="1"/>
  <c r="F38" i="4" l="1"/>
  <c r="G38" i="4" s="1"/>
  <c r="E38" i="4"/>
  <c r="B39" i="4"/>
  <c r="F49" i="4"/>
  <c r="G49" i="4" s="1"/>
  <c r="B50" i="4"/>
  <c r="E49" i="4"/>
  <c r="B47" i="1"/>
  <c r="B48" i="1" s="1"/>
  <c r="B49" i="1" s="1"/>
  <c r="B50" i="1" s="1"/>
  <c r="I55" i="1"/>
  <c r="L34" i="1"/>
  <c r="L35" i="1" s="1"/>
  <c r="L36" i="1" s="1"/>
  <c r="L37" i="1" s="1"/>
  <c r="L38" i="1" s="1"/>
  <c r="L39" i="1" s="1"/>
  <c r="L24" i="1" s="1"/>
  <c r="P34" i="1"/>
  <c r="P35" i="1" s="1"/>
  <c r="P36" i="1" s="1"/>
  <c r="P37" i="1" s="1"/>
  <c r="P38" i="1" s="1"/>
  <c r="P39" i="1" s="1"/>
  <c r="P24" i="1" s="1"/>
  <c r="T34" i="1"/>
  <c r="T35" i="1" s="1"/>
  <c r="T36" i="1" s="1"/>
  <c r="T37" i="1" s="1"/>
  <c r="T38" i="1" s="1"/>
  <c r="T39" i="1" s="1"/>
  <c r="T24" i="1" s="1"/>
  <c r="X34" i="1"/>
  <c r="X35" i="1" s="1"/>
  <c r="X36" i="1" s="1"/>
  <c r="X37" i="1" s="1"/>
  <c r="X38" i="1" s="1"/>
  <c r="X39" i="1" s="1"/>
  <c r="X24" i="1" s="1"/>
  <c r="AB34" i="1"/>
  <c r="AB35" i="1" s="1"/>
  <c r="AB36" i="1" s="1"/>
  <c r="AB37" i="1" s="1"/>
  <c r="AB38" i="1" s="1"/>
  <c r="AB39" i="1" s="1"/>
  <c r="AB24" i="1" s="1"/>
  <c r="M34" i="1"/>
  <c r="M35" i="1" s="1"/>
  <c r="M36" i="1" s="1"/>
  <c r="M37" i="1" s="1"/>
  <c r="M38" i="1" s="1"/>
  <c r="M39" i="1" s="1"/>
  <c r="M24" i="1" s="1"/>
  <c r="Q34" i="1"/>
  <c r="Q35" i="1" s="1"/>
  <c r="Q36" i="1" s="1"/>
  <c r="Q37" i="1" s="1"/>
  <c r="Q38" i="1" s="1"/>
  <c r="Q39" i="1" s="1"/>
  <c r="Q24" i="1" s="1"/>
  <c r="U34" i="1"/>
  <c r="U35" i="1" s="1"/>
  <c r="U36" i="1" s="1"/>
  <c r="U37" i="1" s="1"/>
  <c r="U38" i="1" s="1"/>
  <c r="U39" i="1" s="1"/>
  <c r="U24" i="1" s="1"/>
  <c r="Y34" i="1"/>
  <c r="Y35" i="1" s="1"/>
  <c r="Y36" i="1" s="1"/>
  <c r="Y37" i="1" s="1"/>
  <c r="Y38" i="1" s="1"/>
  <c r="Y39" i="1" s="1"/>
  <c r="Y24" i="1" s="1"/>
  <c r="AC34" i="1"/>
  <c r="AC35" i="1" s="1"/>
  <c r="AC36" i="1" s="1"/>
  <c r="AC37" i="1" s="1"/>
  <c r="AC38" i="1" s="1"/>
  <c r="AC39" i="1" s="1"/>
  <c r="AC24" i="1" s="1"/>
  <c r="N34" i="1"/>
  <c r="N35" i="1" s="1"/>
  <c r="N36" i="1" s="1"/>
  <c r="N37" i="1" s="1"/>
  <c r="N38" i="1" s="1"/>
  <c r="N39" i="1" s="1"/>
  <c r="N24" i="1" s="1"/>
  <c r="R34" i="1"/>
  <c r="R35" i="1" s="1"/>
  <c r="R36" i="1" s="1"/>
  <c r="R37" i="1" s="1"/>
  <c r="R38" i="1" s="1"/>
  <c r="R39" i="1" s="1"/>
  <c r="R24" i="1" s="1"/>
  <c r="Z34" i="1"/>
  <c r="Z35" i="1" s="1"/>
  <c r="Z36" i="1" s="1"/>
  <c r="Z37" i="1" s="1"/>
  <c r="Z38" i="1" s="1"/>
  <c r="Z39" i="1" s="1"/>
  <c r="Z24" i="1" s="1"/>
  <c r="W34" i="1"/>
  <c r="W35" i="1" s="1"/>
  <c r="W36" i="1" s="1"/>
  <c r="W37" i="1" s="1"/>
  <c r="W38" i="1" s="1"/>
  <c r="W39" i="1" s="1"/>
  <c r="W24" i="1" s="1"/>
  <c r="J34" i="1"/>
  <c r="J35" i="1" s="1"/>
  <c r="J36" i="1" s="1"/>
  <c r="J37" i="1" s="1"/>
  <c r="J38" i="1" s="1"/>
  <c r="J39" i="1" s="1"/>
  <c r="J24" i="1" s="1"/>
  <c r="V34" i="1"/>
  <c r="V35" i="1" s="1"/>
  <c r="V36" i="1" s="1"/>
  <c r="V37" i="1" s="1"/>
  <c r="V38" i="1" s="1"/>
  <c r="V39" i="1" s="1"/>
  <c r="V24" i="1" s="1"/>
  <c r="K35" i="1"/>
  <c r="K36" i="1" s="1"/>
  <c r="K37" i="1" s="1"/>
  <c r="K38" i="1" s="1"/>
  <c r="K39" i="1" s="1"/>
  <c r="K24" i="1" s="1"/>
  <c r="O34" i="1"/>
  <c r="O35" i="1" s="1"/>
  <c r="O36" i="1" s="1"/>
  <c r="O37" i="1" s="1"/>
  <c r="O38" i="1" s="1"/>
  <c r="O39" i="1" s="1"/>
  <c r="O24" i="1" s="1"/>
  <c r="AA34" i="1"/>
  <c r="AA35" i="1" s="1"/>
  <c r="AA36" i="1" s="1"/>
  <c r="AA37" i="1" s="1"/>
  <c r="AA38" i="1" s="1"/>
  <c r="AA39" i="1" s="1"/>
  <c r="AA24" i="1" s="1"/>
  <c r="I34" i="1"/>
  <c r="I35" i="1" s="1"/>
  <c r="I36" i="1" s="1"/>
  <c r="I37" i="1" s="1"/>
  <c r="I38" i="1" s="1"/>
  <c r="I39" i="1" s="1"/>
  <c r="I24" i="1" s="1"/>
  <c r="S34" i="1"/>
  <c r="S35" i="1" s="1"/>
  <c r="S36" i="1" s="1"/>
  <c r="S37" i="1" s="1"/>
  <c r="S38" i="1" s="1"/>
  <c r="S39" i="1" s="1"/>
  <c r="S24" i="1" s="1"/>
  <c r="K45" i="1"/>
  <c r="K46" i="1" s="1"/>
  <c r="K47" i="1" s="1"/>
  <c r="K48" i="1" s="1"/>
  <c r="K49" i="1" s="1"/>
  <c r="K50" i="1" s="1"/>
  <c r="K53" i="1" s="1"/>
  <c r="O45" i="1"/>
  <c r="O46" i="1" s="1"/>
  <c r="O47" i="1" s="1"/>
  <c r="O48" i="1" s="1"/>
  <c r="O49" i="1" s="1"/>
  <c r="O50" i="1" s="1"/>
  <c r="O53" i="1" s="1"/>
  <c r="S45" i="1"/>
  <c r="S46" i="1" s="1"/>
  <c r="S47" i="1" s="1"/>
  <c r="S48" i="1" s="1"/>
  <c r="S49" i="1" s="1"/>
  <c r="S50" i="1" s="1"/>
  <c r="S53" i="1" s="1"/>
  <c r="W45" i="1"/>
  <c r="W46" i="1" s="1"/>
  <c r="W47" i="1" s="1"/>
  <c r="W48" i="1" s="1"/>
  <c r="W49" i="1" s="1"/>
  <c r="W50" i="1" s="1"/>
  <c r="W53" i="1" s="1"/>
  <c r="AA45" i="1"/>
  <c r="AA46" i="1" s="1"/>
  <c r="AA47" i="1" s="1"/>
  <c r="AA48" i="1" s="1"/>
  <c r="AA49" i="1" s="1"/>
  <c r="AA50" i="1" s="1"/>
  <c r="AA53" i="1" s="1"/>
  <c r="L45" i="1"/>
  <c r="L46" i="1" s="1"/>
  <c r="L47" i="1" s="1"/>
  <c r="L48" i="1" s="1"/>
  <c r="L49" i="1" s="1"/>
  <c r="L50" i="1" s="1"/>
  <c r="L53" i="1" s="1"/>
  <c r="P45" i="1"/>
  <c r="P46" i="1" s="1"/>
  <c r="P47" i="1" s="1"/>
  <c r="P48" i="1" s="1"/>
  <c r="P49" i="1" s="1"/>
  <c r="P50" i="1" s="1"/>
  <c r="P53" i="1" s="1"/>
  <c r="X45" i="1"/>
  <c r="X46" i="1" s="1"/>
  <c r="X47" i="1" s="1"/>
  <c r="X48" i="1" s="1"/>
  <c r="X49" i="1" s="1"/>
  <c r="X50" i="1" s="1"/>
  <c r="X53" i="1" s="1"/>
  <c r="AB45" i="1"/>
  <c r="AB46" i="1" s="1"/>
  <c r="AB47" i="1" s="1"/>
  <c r="AB48" i="1" s="1"/>
  <c r="AB49" i="1" s="1"/>
  <c r="AB50" i="1" s="1"/>
  <c r="AB53" i="1" s="1"/>
  <c r="M45" i="1"/>
  <c r="M46" i="1" s="1"/>
  <c r="M47" i="1" s="1"/>
  <c r="M48" i="1" s="1"/>
  <c r="M49" i="1" s="1"/>
  <c r="M50" i="1" s="1"/>
  <c r="M53" i="1" s="1"/>
  <c r="Q45" i="1"/>
  <c r="Q46" i="1" s="1"/>
  <c r="Q47" i="1" s="1"/>
  <c r="Q48" i="1" s="1"/>
  <c r="Q49" i="1" s="1"/>
  <c r="Q50" i="1" s="1"/>
  <c r="Q53" i="1" s="1"/>
  <c r="Y45" i="1"/>
  <c r="Y46" i="1" s="1"/>
  <c r="Y47" i="1" s="1"/>
  <c r="Y48" i="1" s="1"/>
  <c r="Y49" i="1" s="1"/>
  <c r="Y50" i="1" s="1"/>
  <c r="Y53" i="1" s="1"/>
  <c r="AC45" i="1"/>
  <c r="AC46" i="1" s="1"/>
  <c r="AC47" i="1" s="1"/>
  <c r="AC48" i="1" s="1"/>
  <c r="AC49" i="1" s="1"/>
  <c r="AC50" i="1" s="1"/>
  <c r="AC53" i="1" s="1"/>
  <c r="T45" i="1"/>
  <c r="T46" i="1" s="1"/>
  <c r="T47" i="1" s="1"/>
  <c r="T48" i="1" s="1"/>
  <c r="T49" i="1" s="1"/>
  <c r="T50" i="1" s="1"/>
  <c r="T53" i="1" s="1"/>
  <c r="U45" i="1"/>
  <c r="U46" i="1" s="1"/>
  <c r="U47" i="1" s="1"/>
  <c r="U48" i="1" s="1"/>
  <c r="U49" i="1" s="1"/>
  <c r="U50" i="1" s="1"/>
  <c r="U53" i="1" s="1"/>
  <c r="N45" i="1"/>
  <c r="N46" i="1" s="1"/>
  <c r="N47" i="1" s="1"/>
  <c r="N48" i="1" s="1"/>
  <c r="N49" i="1" s="1"/>
  <c r="N50" i="1" s="1"/>
  <c r="N53" i="1" s="1"/>
  <c r="R45" i="1"/>
  <c r="R46" i="1" s="1"/>
  <c r="R47" i="1" s="1"/>
  <c r="R48" i="1" s="1"/>
  <c r="R49" i="1" s="1"/>
  <c r="R50" i="1" s="1"/>
  <c r="R53" i="1" s="1"/>
  <c r="V45" i="1"/>
  <c r="V46" i="1" s="1"/>
  <c r="V47" i="1" s="1"/>
  <c r="V48" i="1" s="1"/>
  <c r="V49" i="1" s="1"/>
  <c r="V50" i="1" s="1"/>
  <c r="V53" i="1" s="1"/>
  <c r="J45" i="1"/>
  <c r="J46" i="1" s="1"/>
  <c r="J47" i="1" s="1"/>
  <c r="J48" i="1" s="1"/>
  <c r="J49" i="1" s="1"/>
  <c r="J50" i="1" s="1"/>
  <c r="J53" i="1" s="1"/>
  <c r="Z45" i="1"/>
  <c r="Z46" i="1" s="1"/>
  <c r="Z47" i="1" s="1"/>
  <c r="Z48" i="1" s="1"/>
  <c r="Z49" i="1" s="1"/>
  <c r="Z50" i="1" s="1"/>
  <c r="Z53" i="1" s="1"/>
  <c r="I45" i="1"/>
  <c r="I46" i="1" s="1"/>
  <c r="I47" i="1" s="1"/>
  <c r="I48" i="1" s="1"/>
  <c r="I49" i="1" s="1"/>
  <c r="I50" i="1" s="1"/>
  <c r="I53" i="1" s="1"/>
  <c r="B34" i="1"/>
  <c r="F45" i="1"/>
  <c r="G45" i="1" s="1"/>
  <c r="E45" i="1"/>
  <c r="B13" i="1"/>
  <c r="B27" i="1"/>
  <c r="C13" i="1"/>
  <c r="C27" i="1"/>
  <c r="C12" i="1"/>
  <c r="D2" i="3"/>
  <c r="B12" i="1"/>
  <c r="D2" i="2"/>
  <c r="B40" i="4" l="1"/>
  <c r="F39" i="4"/>
  <c r="G39" i="4" s="1"/>
  <c r="E39" i="4"/>
  <c r="F50" i="4"/>
  <c r="G50" i="4" s="1"/>
  <c r="B51" i="4"/>
  <c r="E50" i="4"/>
  <c r="AC26" i="1"/>
  <c r="K26" i="1"/>
  <c r="I26" i="1"/>
  <c r="I25" i="1"/>
  <c r="I27" i="1" s="1"/>
  <c r="O42" i="1"/>
  <c r="O26" i="1"/>
  <c r="W42" i="1"/>
  <c r="W26" i="1"/>
  <c r="M42" i="1"/>
  <c r="M26" i="1"/>
  <c r="P42" i="1"/>
  <c r="P26" i="1"/>
  <c r="S42" i="1"/>
  <c r="S26" i="1"/>
  <c r="Z42" i="1"/>
  <c r="Z26" i="1"/>
  <c r="Y42" i="1"/>
  <c r="Y26" i="1"/>
  <c r="AB42" i="1"/>
  <c r="AB26" i="1"/>
  <c r="L42" i="1"/>
  <c r="L26" i="1"/>
  <c r="V42" i="1"/>
  <c r="V26" i="1"/>
  <c r="R42" i="1"/>
  <c r="R26" i="1"/>
  <c r="U42" i="1"/>
  <c r="U26" i="1"/>
  <c r="X42" i="1"/>
  <c r="X26" i="1"/>
  <c r="AA42" i="1"/>
  <c r="AA26" i="1"/>
  <c r="J42" i="1"/>
  <c r="J26" i="1"/>
  <c r="N42" i="1"/>
  <c r="N26" i="1"/>
  <c r="Q42" i="1"/>
  <c r="Q26" i="1"/>
  <c r="T42" i="1"/>
  <c r="T26" i="1"/>
  <c r="AC42" i="1"/>
  <c r="AC25" i="1"/>
  <c r="K25" i="1"/>
  <c r="K42" i="1"/>
  <c r="I42" i="1"/>
  <c r="R41" i="1"/>
  <c r="R40" i="1"/>
  <c r="Q28" i="1"/>
  <c r="Q29" i="1" s="1"/>
  <c r="Q51" i="1"/>
  <c r="Q52" i="1"/>
  <c r="S51" i="1"/>
  <c r="S52" i="1"/>
  <c r="S28" i="1"/>
  <c r="S29" i="1" s="1"/>
  <c r="I41" i="1"/>
  <c r="I40" i="1"/>
  <c r="V41" i="1"/>
  <c r="V25" i="1"/>
  <c r="V40" i="1"/>
  <c r="Z41" i="1"/>
  <c r="Z40" i="1"/>
  <c r="Z25" i="1"/>
  <c r="Y25" i="1"/>
  <c r="Y27" i="1" s="1"/>
  <c r="Y40" i="1"/>
  <c r="Y41" i="1"/>
  <c r="AB40" i="1"/>
  <c r="AB25" i="1"/>
  <c r="AB41" i="1"/>
  <c r="L25" i="1"/>
  <c r="L40" i="1"/>
  <c r="L41" i="1"/>
  <c r="P28" i="1"/>
  <c r="P29" i="1" s="1"/>
  <c r="P51" i="1"/>
  <c r="P52" i="1"/>
  <c r="V51" i="1"/>
  <c r="V52" i="1"/>
  <c r="V28" i="1"/>
  <c r="V29" i="1" s="1"/>
  <c r="T28" i="1"/>
  <c r="T29" i="1" s="1"/>
  <c r="T52" i="1"/>
  <c r="T51" i="1"/>
  <c r="M28" i="1"/>
  <c r="M29" i="1" s="1"/>
  <c r="M52" i="1"/>
  <c r="M51" i="1"/>
  <c r="L28" i="1"/>
  <c r="L29" i="1" s="1"/>
  <c r="L52" i="1"/>
  <c r="L51" i="1"/>
  <c r="O51" i="1"/>
  <c r="O52" i="1"/>
  <c r="O28" i="1"/>
  <c r="O29" i="1" s="1"/>
  <c r="AA25" i="1"/>
  <c r="AA40" i="1"/>
  <c r="AA41" i="1"/>
  <c r="J40" i="1"/>
  <c r="J41" i="1"/>
  <c r="J25" i="1"/>
  <c r="J27" i="1" s="1"/>
  <c r="U25" i="1"/>
  <c r="U40" i="1"/>
  <c r="U41" i="1"/>
  <c r="X25" i="1"/>
  <c r="X27" i="1" s="1"/>
  <c r="X40" i="1"/>
  <c r="X41" i="1"/>
  <c r="U28" i="1"/>
  <c r="U29" i="1" s="1"/>
  <c r="U52" i="1"/>
  <c r="U51" i="1"/>
  <c r="R51" i="1"/>
  <c r="R52" i="1"/>
  <c r="R28" i="1"/>
  <c r="R29" i="1" s="1"/>
  <c r="AC28" i="1"/>
  <c r="AC29" i="1" s="1"/>
  <c r="AC52" i="1"/>
  <c r="AC51" i="1"/>
  <c r="AB28" i="1"/>
  <c r="AB29" i="1" s="1"/>
  <c r="AB52" i="1"/>
  <c r="AB51" i="1"/>
  <c r="AA51" i="1"/>
  <c r="AA52" i="1"/>
  <c r="AA28" i="1"/>
  <c r="AA29" i="1" s="1"/>
  <c r="K51" i="1"/>
  <c r="K52" i="1"/>
  <c r="K28" i="1"/>
  <c r="K29" i="1" s="1"/>
  <c r="O25" i="1"/>
  <c r="O40" i="1"/>
  <c r="O41" i="1"/>
  <c r="W25" i="1"/>
  <c r="W40" i="1"/>
  <c r="W41" i="1"/>
  <c r="N41" i="1"/>
  <c r="N40" i="1"/>
  <c r="N25" i="1"/>
  <c r="Q25" i="1"/>
  <c r="Q40" i="1"/>
  <c r="Q41" i="1"/>
  <c r="T25" i="1"/>
  <c r="T40" i="1"/>
  <c r="T41" i="1"/>
  <c r="J51" i="1"/>
  <c r="J52" i="1"/>
  <c r="J28" i="1"/>
  <c r="J29" i="1" s="1"/>
  <c r="I52" i="1"/>
  <c r="I51" i="1"/>
  <c r="I28" i="1"/>
  <c r="I29" i="1" s="1"/>
  <c r="Z51" i="1"/>
  <c r="Z52" i="1"/>
  <c r="Z28" i="1"/>
  <c r="Z29" i="1" s="1"/>
  <c r="N51" i="1"/>
  <c r="N52" i="1"/>
  <c r="N28" i="1"/>
  <c r="N29" i="1" s="1"/>
  <c r="Y28" i="1"/>
  <c r="Y29" i="1" s="1"/>
  <c r="Y51" i="1"/>
  <c r="Y52" i="1"/>
  <c r="X28" i="1"/>
  <c r="X29" i="1" s="1"/>
  <c r="X51" i="1"/>
  <c r="X52" i="1"/>
  <c r="W51" i="1"/>
  <c r="W52" i="1"/>
  <c r="W28" i="1"/>
  <c r="W29" i="1" s="1"/>
  <c r="S25" i="1"/>
  <c r="S40" i="1"/>
  <c r="S41" i="1"/>
  <c r="AC40" i="1"/>
  <c r="AC41" i="1"/>
  <c r="M25" i="1"/>
  <c r="M40" i="1"/>
  <c r="M41" i="1"/>
  <c r="P25" i="1"/>
  <c r="P40" i="1"/>
  <c r="P41" i="1"/>
  <c r="K41" i="1"/>
  <c r="K40" i="1"/>
  <c r="B35" i="1"/>
  <c r="E34" i="1"/>
  <c r="F34" i="1"/>
  <c r="G34" i="1" s="1"/>
  <c r="E46" i="1"/>
  <c r="F46" i="1"/>
  <c r="G46" i="1" s="1"/>
  <c r="J7" i="3"/>
  <c r="J2" i="3"/>
  <c r="K11" i="3" s="1"/>
  <c r="J8" i="3"/>
  <c r="D8" i="3" s="1"/>
  <c r="J2" i="2"/>
  <c r="K11" i="2" s="1"/>
  <c r="J8" i="2"/>
  <c r="D8" i="2" s="1"/>
  <c r="J7" i="2"/>
  <c r="E51" i="4" l="1"/>
  <c r="B53" i="4" s="1"/>
  <c r="F51" i="4"/>
  <c r="G51" i="4" s="1"/>
  <c r="E40" i="4"/>
  <c r="B42" i="4" s="1"/>
  <c r="F40" i="4"/>
  <c r="G40" i="4" s="1"/>
  <c r="AB27" i="1"/>
  <c r="W27" i="1"/>
  <c r="AA27" i="1"/>
  <c r="Z27" i="1"/>
  <c r="V27" i="1"/>
  <c r="AC27" i="1"/>
  <c r="K27" i="1"/>
  <c r="M27" i="1"/>
  <c r="Q27" i="1"/>
  <c r="L27" i="1"/>
  <c r="P27" i="1"/>
  <c r="S27" i="1"/>
  <c r="T27" i="1"/>
  <c r="N27" i="1"/>
  <c r="O27" i="1"/>
  <c r="U27" i="1"/>
  <c r="R25" i="1"/>
  <c r="R27" i="1" s="1"/>
  <c r="F35" i="1"/>
  <c r="G35" i="1" s="1"/>
  <c r="E35" i="1"/>
  <c r="B36" i="1"/>
  <c r="E47" i="1"/>
  <c r="F47" i="1"/>
  <c r="G47" i="1" s="1"/>
  <c r="K32" i="3"/>
  <c r="K24" i="3"/>
  <c r="K29" i="3"/>
  <c r="K18" i="3"/>
  <c r="K21" i="3"/>
  <c r="K35" i="3"/>
  <c r="K39" i="3"/>
  <c r="K43" i="3"/>
  <c r="K51" i="3"/>
  <c r="K59" i="3"/>
  <c r="K67" i="3"/>
  <c r="K68" i="3"/>
  <c r="K60" i="3"/>
  <c r="K52" i="3"/>
  <c r="K44" i="3"/>
  <c r="K49" i="3"/>
  <c r="K13" i="3"/>
  <c r="K30" i="3"/>
  <c r="K22" i="3"/>
  <c r="K31" i="3"/>
  <c r="K42" i="3"/>
  <c r="K23" i="3"/>
  <c r="K34" i="3"/>
  <c r="K38" i="3"/>
  <c r="K45" i="3"/>
  <c r="K53" i="3"/>
  <c r="K61" i="3"/>
  <c r="K69" i="3"/>
  <c r="K66" i="3"/>
  <c r="K58" i="3"/>
  <c r="K50" i="3"/>
  <c r="K33" i="3"/>
  <c r="K28" i="3"/>
  <c r="K20" i="3"/>
  <c r="K14" i="3"/>
  <c r="K17" i="3"/>
  <c r="K25" i="3"/>
  <c r="K37" i="3"/>
  <c r="K41" i="3"/>
  <c r="K47" i="3"/>
  <c r="K63" i="3"/>
  <c r="K71" i="3"/>
  <c r="K64" i="3"/>
  <c r="K56" i="3"/>
  <c r="K15" i="3"/>
  <c r="K12" i="3"/>
  <c r="K19" i="3"/>
  <c r="K36" i="3"/>
  <c r="K57" i="3"/>
  <c r="K70" i="3"/>
  <c r="K54" i="3"/>
  <c r="K55" i="3"/>
  <c r="K48" i="3"/>
  <c r="K26" i="3"/>
  <c r="K16" i="3"/>
  <c r="K27" i="3"/>
  <c r="K40" i="3"/>
  <c r="K65" i="3"/>
  <c r="K62" i="3"/>
  <c r="K46" i="3"/>
  <c r="I12" i="3"/>
  <c r="I12" i="2"/>
  <c r="K45" i="2"/>
  <c r="K57" i="2"/>
  <c r="K18" i="2"/>
  <c r="K53" i="2"/>
  <c r="K48" i="2"/>
  <c r="K41" i="2"/>
  <c r="K44" i="2"/>
  <c r="K43" i="2"/>
  <c r="K47" i="2"/>
  <c r="K13" i="2"/>
  <c r="K60" i="2"/>
  <c r="K27" i="2"/>
  <c r="K56" i="2"/>
  <c r="K49" i="2"/>
  <c r="K62" i="2"/>
  <c r="K17" i="2"/>
  <c r="K51" i="2"/>
  <c r="K59" i="2"/>
  <c r="K55" i="2"/>
  <c r="K46" i="2"/>
  <c r="K63" i="2"/>
  <c r="K29" i="2"/>
  <c r="K58" i="2"/>
  <c r="K24" i="2"/>
  <c r="K67" i="2"/>
  <c r="K25" i="2"/>
  <c r="K20" i="2"/>
  <c r="K36" i="2"/>
  <c r="K30" i="2"/>
  <c r="K42" i="2"/>
  <c r="K26" i="2"/>
  <c r="K21" i="2"/>
  <c r="K61" i="2"/>
  <c r="K54" i="2"/>
  <c r="K19" i="2"/>
  <c r="K32" i="2"/>
  <c r="K28" i="2"/>
  <c r="K50" i="2"/>
  <c r="K23" i="2"/>
  <c r="K12" i="2"/>
  <c r="K39" i="2"/>
  <c r="K14" i="2"/>
  <c r="K71" i="2"/>
  <c r="K70" i="2"/>
  <c r="K66" i="2"/>
  <c r="K33" i="2"/>
  <c r="K16" i="2"/>
  <c r="K64" i="2"/>
  <c r="K40" i="2"/>
  <c r="K31" i="2"/>
  <c r="K37" i="2"/>
  <c r="K38" i="2"/>
  <c r="K68" i="2"/>
  <c r="K22" i="2"/>
  <c r="K35" i="2"/>
  <c r="K52" i="2"/>
  <c r="K69" i="2"/>
  <c r="K15" i="2"/>
  <c r="K65" i="2"/>
  <c r="K34" i="2"/>
  <c r="B43" i="4" l="1"/>
  <c r="E43" i="4"/>
  <c r="E54" i="4"/>
  <c r="B54" i="4"/>
  <c r="G54" i="4" s="1"/>
  <c r="F48" i="1"/>
  <c r="G48" i="1" s="1"/>
  <c r="E48" i="1"/>
  <c r="B37" i="1"/>
  <c r="F36" i="1"/>
  <c r="G36" i="1" s="1"/>
  <c r="E36" i="1"/>
  <c r="D12" i="2"/>
  <c r="E12" i="2"/>
  <c r="J12" i="2"/>
  <c r="I13" i="2" s="1"/>
  <c r="J12" i="3"/>
  <c r="I13" i="3" s="1"/>
  <c r="D12" i="3"/>
  <c r="E12" i="3"/>
  <c r="G43" i="4" l="1"/>
  <c r="F37" i="1"/>
  <c r="G37" i="1" s="1"/>
  <c r="E37" i="1"/>
  <c r="B38" i="1"/>
  <c r="F49" i="1"/>
  <c r="G49" i="1" s="1"/>
  <c r="E49" i="1"/>
  <c r="F12" i="3"/>
  <c r="G12" i="3" s="1"/>
  <c r="F12" i="2"/>
  <c r="G12" i="2" s="1"/>
  <c r="J13" i="2"/>
  <c r="I14" i="2" s="1"/>
  <c r="D13" i="2"/>
  <c r="E13" i="2"/>
  <c r="D13" i="3"/>
  <c r="E13" i="3"/>
  <c r="J13" i="3"/>
  <c r="I14" i="3" s="1"/>
  <c r="H12" i="3"/>
  <c r="H12" i="2"/>
  <c r="E50" i="1" l="1"/>
  <c r="B52" i="1" s="1"/>
  <c r="F50" i="1"/>
  <c r="B39" i="1"/>
  <c r="F38" i="1"/>
  <c r="G38" i="1" s="1"/>
  <c r="E38" i="1"/>
  <c r="H13" i="3"/>
  <c r="H13" i="2"/>
  <c r="F13" i="3"/>
  <c r="G13" i="3" s="1"/>
  <c r="E14" i="3"/>
  <c r="D14" i="3"/>
  <c r="J14" i="3"/>
  <c r="I15" i="3" s="1"/>
  <c r="F13" i="2"/>
  <c r="G13" i="2" s="1"/>
  <c r="E14" i="2"/>
  <c r="D14" i="2"/>
  <c r="J14" i="2"/>
  <c r="I15" i="2" s="1"/>
  <c r="E53" i="1" l="1"/>
  <c r="B53" i="1"/>
  <c r="G53" i="1" s="1"/>
  <c r="G50" i="1"/>
  <c r="F39" i="1"/>
  <c r="E39" i="1"/>
  <c r="B41" i="1" s="1"/>
  <c r="F14" i="2"/>
  <c r="G14" i="2" s="1"/>
  <c r="F14" i="3"/>
  <c r="G14" i="3" s="1"/>
  <c r="J15" i="2"/>
  <c r="I16" i="2" s="1"/>
  <c r="E15" i="2"/>
  <c r="D15" i="2"/>
  <c r="H14" i="3"/>
  <c r="D15" i="3"/>
  <c r="J15" i="3"/>
  <c r="I16" i="3" s="1"/>
  <c r="E15" i="3"/>
  <c r="H14" i="2"/>
  <c r="E42" i="1" l="1"/>
  <c r="B42" i="1"/>
  <c r="G42" i="1" s="1"/>
  <c r="G39" i="1"/>
  <c r="F15" i="3"/>
  <c r="G15" i="3" s="1"/>
  <c r="F15" i="2"/>
  <c r="G15" i="2" s="1"/>
  <c r="H15" i="3"/>
  <c r="E16" i="3"/>
  <c r="D16" i="3"/>
  <c r="J16" i="3"/>
  <c r="I17" i="3" s="1"/>
  <c r="H15" i="2"/>
  <c r="J16" i="2"/>
  <c r="I17" i="2" s="1"/>
  <c r="E16" i="2"/>
  <c r="D16" i="2"/>
  <c r="F16" i="3" l="1"/>
  <c r="G16" i="3" s="1"/>
  <c r="F16" i="2"/>
  <c r="G16" i="2" s="1"/>
  <c r="D17" i="3"/>
  <c r="E17" i="3"/>
  <c r="J17" i="3"/>
  <c r="I18" i="3" s="1"/>
  <c r="H16" i="2"/>
  <c r="H16" i="3"/>
  <c r="D17" i="2"/>
  <c r="J17" i="2"/>
  <c r="I18" i="2" s="1"/>
  <c r="E17" i="2"/>
  <c r="H17" i="3" l="1"/>
  <c r="H17" i="2"/>
  <c r="J18" i="3"/>
  <c r="I19" i="3" s="1"/>
  <c r="E18" i="3"/>
  <c r="D18" i="3"/>
  <c r="D18" i="2"/>
  <c r="J18" i="2"/>
  <c r="I19" i="2" s="1"/>
  <c r="E18" i="2"/>
  <c r="F17" i="2"/>
  <c r="G17" i="2" s="1"/>
  <c r="F17" i="3"/>
  <c r="G17" i="3" s="1"/>
  <c r="F18" i="3" l="1"/>
  <c r="G18" i="3" s="1"/>
  <c r="F18" i="2"/>
  <c r="G18" i="2" s="1"/>
  <c r="J19" i="2"/>
  <c r="I20" i="2" s="1"/>
  <c r="E19" i="2"/>
  <c r="D19" i="2"/>
  <c r="H18" i="2"/>
  <c r="H18" i="3"/>
  <c r="E19" i="3"/>
  <c r="J19" i="3"/>
  <c r="I20" i="3" s="1"/>
  <c r="D19" i="3"/>
  <c r="F19" i="3" l="1"/>
  <c r="G19" i="3" s="1"/>
  <c r="H19" i="2"/>
  <c r="E20" i="3"/>
  <c r="J20" i="3"/>
  <c r="I21" i="3" s="1"/>
  <c r="D20" i="3"/>
  <c r="F19" i="2"/>
  <c r="G19" i="2" s="1"/>
  <c r="H19" i="3"/>
  <c r="E20" i="2"/>
  <c r="D20" i="2"/>
  <c r="J20" i="2"/>
  <c r="I21" i="2" s="1"/>
  <c r="F20" i="2" l="1"/>
  <c r="G20" i="2" s="1"/>
  <c r="F20" i="3"/>
  <c r="G20" i="3" s="1"/>
  <c r="H20" i="2"/>
  <c r="J21" i="2"/>
  <c r="I22" i="2" s="1"/>
  <c r="E21" i="2"/>
  <c r="D21" i="2"/>
  <c r="E21" i="3"/>
  <c r="J21" i="3"/>
  <c r="I22" i="3" s="1"/>
  <c r="D21" i="3"/>
  <c r="H20" i="3"/>
  <c r="F21" i="2" l="1"/>
  <c r="G21" i="2" s="1"/>
  <c r="F21" i="3"/>
  <c r="G21" i="3" s="1"/>
  <c r="E22" i="3"/>
  <c r="J22" i="3"/>
  <c r="I23" i="3" s="1"/>
  <c r="D22" i="3"/>
  <c r="H21" i="2"/>
  <c r="E22" i="2"/>
  <c r="D22" i="2"/>
  <c r="J22" i="2"/>
  <c r="I23" i="2" s="1"/>
  <c r="H21" i="3"/>
  <c r="F22" i="2" l="1"/>
  <c r="G22" i="2" s="1"/>
  <c r="F22" i="3"/>
  <c r="G22" i="3" s="1"/>
  <c r="D23" i="3"/>
  <c r="E23" i="3"/>
  <c r="J23" i="3"/>
  <c r="I24" i="3" s="1"/>
  <c r="J23" i="2"/>
  <c r="I24" i="2" s="1"/>
  <c r="E23" i="2"/>
  <c r="D23" i="2"/>
  <c r="H22" i="2"/>
  <c r="H22" i="3"/>
  <c r="H23" i="2" l="1"/>
  <c r="F23" i="3"/>
  <c r="G23" i="3" s="1"/>
  <c r="E24" i="3"/>
  <c r="D24" i="3"/>
  <c r="J24" i="3"/>
  <c r="I25" i="3" s="1"/>
  <c r="E24" i="2"/>
  <c r="J24" i="2"/>
  <c r="I25" i="2" s="1"/>
  <c r="D24" i="2"/>
  <c r="F23" i="2"/>
  <c r="G23" i="2" s="1"/>
  <c r="H23" i="3"/>
  <c r="F24" i="3" l="1"/>
  <c r="G24" i="3" s="1"/>
  <c r="H24" i="2"/>
  <c r="D25" i="3"/>
  <c r="E25" i="3"/>
  <c r="J25" i="3"/>
  <c r="I26" i="3" s="1"/>
  <c r="F24" i="2"/>
  <c r="G24" i="2" s="1"/>
  <c r="J25" i="2"/>
  <c r="I26" i="2" s="1"/>
  <c r="D25" i="2"/>
  <c r="E25" i="2"/>
  <c r="H24" i="3"/>
  <c r="H25" i="2" l="1"/>
  <c r="F25" i="3"/>
  <c r="G25" i="3" s="1"/>
  <c r="E26" i="3"/>
  <c r="D26" i="3"/>
  <c r="J26" i="3"/>
  <c r="I27" i="3" s="1"/>
  <c r="J26" i="2"/>
  <c r="I27" i="2" s="1"/>
  <c r="E26" i="2"/>
  <c r="D26" i="2"/>
  <c r="F25" i="2"/>
  <c r="G25" i="2" s="1"/>
  <c r="H25" i="3"/>
  <c r="F26" i="3" l="1"/>
  <c r="G26" i="3" s="1"/>
  <c r="F26" i="2"/>
  <c r="G26" i="2" s="1"/>
  <c r="E27" i="3"/>
  <c r="D27" i="3"/>
  <c r="J27" i="3"/>
  <c r="I28" i="3" s="1"/>
  <c r="J27" i="2"/>
  <c r="I28" i="2" s="1"/>
  <c r="E27" i="2"/>
  <c r="D27" i="2"/>
  <c r="H26" i="2"/>
  <c r="H26" i="3"/>
  <c r="F27" i="3" l="1"/>
  <c r="G27" i="3" s="1"/>
  <c r="F27" i="2"/>
  <c r="G27" i="2" s="1"/>
  <c r="E28" i="3"/>
  <c r="D28" i="3"/>
  <c r="J28" i="3"/>
  <c r="I29" i="3" s="1"/>
  <c r="E28" i="2"/>
  <c r="D28" i="2"/>
  <c r="J28" i="2"/>
  <c r="I29" i="2" s="1"/>
  <c r="H27" i="2"/>
  <c r="H27" i="3"/>
  <c r="H28" i="2" l="1"/>
  <c r="F28" i="3"/>
  <c r="G28" i="3" s="1"/>
  <c r="J29" i="3"/>
  <c r="I30" i="3" s="1"/>
  <c r="D29" i="3"/>
  <c r="E29" i="3"/>
  <c r="J29" i="2"/>
  <c r="I30" i="2" s="1"/>
  <c r="E29" i="2"/>
  <c r="D29" i="2"/>
  <c r="F28" i="2"/>
  <c r="G28" i="2" s="1"/>
  <c r="H28" i="3"/>
  <c r="H29" i="3" l="1"/>
  <c r="H29" i="2"/>
  <c r="D30" i="2"/>
  <c r="E30" i="2"/>
  <c r="J30" i="2"/>
  <c r="I31" i="2" s="1"/>
  <c r="F29" i="2"/>
  <c r="G29" i="2" s="1"/>
  <c r="F29" i="3"/>
  <c r="G29" i="3" s="1"/>
  <c r="D30" i="3"/>
  <c r="E30" i="3"/>
  <c r="J30" i="3"/>
  <c r="I31" i="3" s="1"/>
  <c r="H30" i="3" l="1"/>
  <c r="F30" i="2"/>
  <c r="G30" i="2" s="1"/>
  <c r="E31" i="2"/>
  <c r="J31" i="2"/>
  <c r="I32" i="2" s="1"/>
  <c r="D31" i="2"/>
  <c r="E31" i="3"/>
  <c r="J31" i="3"/>
  <c r="I32" i="3" s="1"/>
  <c r="D31" i="3"/>
  <c r="F31" i="3" s="1"/>
  <c r="G31" i="3" s="1"/>
  <c r="F30" i="3"/>
  <c r="G30" i="3" s="1"/>
  <c r="H30" i="2"/>
  <c r="F31" i="2" l="1"/>
  <c r="G31" i="2" s="1"/>
  <c r="H31" i="3"/>
  <c r="J32" i="2"/>
  <c r="I33" i="2" s="1"/>
  <c r="E32" i="2"/>
  <c r="D32" i="2"/>
  <c r="E32" i="3"/>
  <c r="D32" i="3"/>
  <c r="J32" i="3"/>
  <c r="I33" i="3" s="1"/>
  <c r="H31" i="2"/>
  <c r="F32" i="3" l="1"/>
  <c r="G32" i="3" s="1"/>
  <c r="F32" i="2"/>
  <c r="G32" i="2" s="1"/>
  <c r="E33" i="2"/>
  <c r="D33" i="2"/>
  <c r="J33" i="2"/>
  <c r="I34" i="2" s="1"/>
  <c r="E33" i="3"/>
  <c r="D33" i="3"/>
  <c r="J33" i="3"/>
  <c r="I34" i="3" s="1"/>
  <c r="H32" i="2"/>
  <c r="H32" i="3"/>
  <c r="H33" i="3" l="1"/>
  <c r="F33" i="2"/>
  <c r="G33" i="2" s="1"/>
  <c r="D34" i="2"/>
  <c r="J34" i="2"/>
  <c r="I35" i="2" s="1"/>
  <c r="E34" i="2"/>
  <c r="E34" i="3"/>
  <c r="J34" i="3"/>
  <c r="I35" i="3" s="1"/>
  <c r="D34" i="3"/>
  <c r="F34" i="3" s="1"/>
  <c r="G34" i="3" s="1"/>
  <c r="F33" i="3"/>
  <c r="G33" i="3" s="1"/>
  <c r="H33" i="2"/>
  <c r="H34" i="2" l="1"/>
  <c r="H34" i="3"/>
  <c r="E35" i="2"/>
  <c r="D35" i="2"/>
  <c r="J35" i="2"/>
  <c r="I36" i="2" s="1"/>
  <c r="E35" i="3"/>
  <c r="D35" i="3"/>
  <c r="J35" i="3"/>
  <c r="I36" i="3" s="1"/>
  <c r="F34" i="2"/>
  <c r="G34" i="2" s="1"/>
  <c r="F35" i="3" l="1"/>
  <c r="G35" i="3" s="1"/>
  <c r="F35" i="2"/>
  <c r="G35" i="2" s="1"/>
  <c r="E36" i="3"/>
  <c r="D36" i="3"/>
  <c r="J36" i="3"/>
  <c r="I37" i="3" s="1"/>
  <c r="H35" i="2"/>
  <c r="J36" i="2"/>
  <c r="I37" i="2" s="1"/>
  <c r="D36" i="2"/>
  <c r="E36" i="2"/>
  <c r="H35" i="3"/>
  <c r="H36" i="2" l="1"/>
  <c r="H36" i="3"/>
  <c r="E37" i="3"/>
  <c r="D37" i="3"/>
  <c r="J37" i="3"/>
  <c r="I38" i="3" s="1"/>
  <c r="F36" i="2"/>
  <c r="G36" i="2" s="1"/>
  <c r="F36" i="3"/>
  <c r="G36" i="3" s="1"/>
  <c r="E37" i="2"/>
  <c r="D37" i="2"/>
  <c r="J37" i="2"/>
  <c r="I38" i="2" s="1"/>
  <c r="F37" i="3" l="1"/>
  <c r="G37" i="3" s="1"/>
  <c r="F37" i="2"/>
  <c r="G37" i="2" s="1"/>
  <c r="E38" i="3"/>
  <c r="D38" i="3"/>
  <c r="J38" i="3"/>
  <c r="I39" i="3" s="1"/>
  <c r="D38" i="2"/>
  <c r="E38" i="2"/>
  <c r="J38" i="2"/>
  <c r="I39" i="2" s="1"/>
  <c r="H37" i="2"/>
  <c r="H37" i="3"/>
  <c r="F38" i="3" l="1"/>
  <c r="G38" i="3" s="1"/>
  <c r="F38" i="2"/>
  <c r="G38" i="2" s="1"/>
  <c r="E39" i="3"/>
  <c r="J39" i="3"/>
  <c r="I40" i="3" s="1"/>
  <c r="D39" i="3"/>
  <c r="E39" i="2"/>
  <c r="J39" i="2"/>
  <c r="I40" i="2" s="1"/>
  <c r="D39" i="2"/>
  <c r="H38" i="2"/>
  <c r="H38" i="3"/>
  <c r="F39" i="3" l="1"/>
  <c r="G39" i="3" s="1"/>
  <c r="H39" i="2"/>
  <c r="E40" i="3"/>
  <c r="D40" i="3"/>
  <c r="J40" i="3"/>
  <c r="I41" i="3" s="1"/>
  <c r="F39" i="2"/>
  <c r="G39" i="2" s="1"/>
  <c r="D40" i="2"/>
  <c r="E40" i="2"/>
  <c r="J40" i="2"/>
  <c r="I41" i="2" s="1"/>
  <c r="H39" i="3"/>
  <c r="F40" i="3" l="1"/>
  <c r="G40" i="3" s="1"/>
  <c r="H40" i="2"/>
  <c r="E41" i="2"/>
  <c r="D41" i="2"/>
  <c r="J41" i="2"/>
  <c r="I42" i="2" s="1"/>
  <c r="E41" i="3"/>
  <c r="D41" i="3"/>
  <c r="J41" i="3"/>
  <c r="I42" i="3" s="1"/>
  <c r="F40" i="2"/>
  <c r="G40" i="2" s="1"/>
  <c r="H40" i="3"/>
  <c r="F41" i="2" l="1"/>
  <c r="G41" i="2" s="1"/>
  <c r="H41" i="3"/>
  <c r="D42" i="2"/>
  <c r="E42" i="2"/>
  <c r="J42" i="2"/>
  <c r="I43" i="2" s="1"/>
  <c r="E42" i="3"/>
  <c r="D42" i="3"/>
  <c r="J42" i="3"/>
  <c r="I43" i="3" s="1"/>
  <c r="F41" i="3"/>
  <c r="G41" i="3" s="1"/>
  <c r="H41" i="2"/>
  <c r="H42" i="2" l="1"/>
  <c r="H42" i="3"/>
  <c r="E43" i="2"/>
  <c r="D43" i="2"/>
  <c r="J43" i="2"/>
  <c r="I44" i="2" s="1"/>
  <c r="E43" i="3"/>
  <c r="J43" i="3"/>
  <c r="I44" i="3" s="1"/>
  <c r="D43" i="3"/>
  <c r="F42" i="3"/>
  <c r="G42" i="3" s="1"/>
  <c r="F42" i="2"/>
  <c r="G42" i="2" s="1"/>
  <c r="F43" i="2" l="1"/>
  <c r="G43" i="2" s="1"/>
  <c r="H43" i="3"/>
  <c r="D44" i="2"/>
  <c r="E44" i="2"/>
  <c r="J44" i="2"/>
  <c r="I45" i="2" s="1"/>
  <c r="F43" i="3"/>
  <c r="G43" i="3" s="1"/>
  <c r="E44" i="3"/>
  <c r="D44" i="3"/>
  <c r="J44" i="3"/>
  <c r="I45" i="3" s="1"/>
  <c r="H43" i="2"/>
  <c r="H44" i="2" l="1"/>
  <c r="F44" i="3"/>
  <c r="G44" i="3" s="1"/>
  <c r="E45" i="2"/>
  <c r="J45" i="2"/>
  <c r="I46" i="2" s="1"/>
  <c r="D45" i="2"/>
  <c r="E45" i="3"/>
  <c r="D45" i="3"/>
  <c r="J45" i="3"/>
  <c r="I46" i="3" s="1"/>
  <c r="H44" i="3"/>
  <c r="F44" i="2"/>
  <c r="G44" i="2" s="1"/>
  <c r="F45" i="2" l="1"/>
  <c r="G45" i="2" s="1"/>
  <c r="H45" i="3"/>
  <c r="D46" i="2"/>
  <c r="E46" i="2"/>
  <c r="J46" i="2"/>
  <c r="I47" i="2" s="1"/>
  <c r="E46" i="3"/>
  <c r="D46" i="3"/>
  <c r="J46" i="3"/>
  <c r="I47" i="3" s="1"/>
  <c r="F45" i="3"/>
  <c r="G45" i="3" s="1"/>
  <c r="H45" i="2"/>
  <c r="H46" i="3" l="1"/>
  <c r="H46" i="2"/>
  <c r="D47" i="2"/>
  <c r="J47" i="2"/>
  <c r="I48" i="2" s="1"/>
  <c r="E47" i="2"/>
  <c r="E47" i="3"/>
  <c r="J47" i="3"/>
  <c r="I48" i="3" s="1"/>
  <c r="D47" i="3"/>
  <c r="F46" i="3"/>
  <c r="G46" i="3" s="1"/>
  <c r="F46" i="2"/>
  <c r="G46" i="2" s="1"/>
  <c r="H47" i="2" l="1"/>
  <c r="F47" i="3"/>
  <c r="G47" i="3" s="1"/>
  <c r="H47" i="3"/>
  <c r="D48" i="2"/>
  <c r="J48" i="2"/>
  <c r="I49" i="2" s="1"/>
  <c r="E48" i="2"/>
  <c r="E48" i="3"/>
  <c r="D48" i="3"/>
  <c r="J48" i="3"/>
  <c r="I49" i="3" s="1"/>
  <c r="F47" i="2"/>
  <c r="G47" i="2" s="1"/>
  <c r="F48" i="3" l="1"/>
  <c r="G48" i="3" s="1"/>
  <c r="H48" i="2"/>
  <c r="E49" i="2"/>
  <c r="J49" i="2"/>
  <c r="I50" i="2" s="1"/>
  <c r="D49" i="2"/>
  <c r="F48" i="2"/>
  <c r="G48" i="2" s="1"/>
  <c r="E49" i="3"/>
  <c r="D49" i="3"/>
  <c r="J49" i="3"/>
  <c r="I50" i="3" s="1"/>
  <c r="H48" i="3"/>
  <c r="F49" i="2" l="1"/>
  <c r="G49" i="2" s="1"/>
  <c r="F49" i="3"/>
  <c r="G49" i="3" s="1"/>
  <c r="D50" i="2"/>
  <c r="E50" i="2"/>
  <c r="J50" i="2"/>
  <c r="I51" i="2" s="1"/>
  <c r="E50" i="3"/>
  <c r="D50" i="3"/>
  <c r="J50" i="3"/>
  <c r="I51" i="3" s="1"/>
  <c r="H49" i="3"/>
  <c r="H49" i="2"/>
  <c r="H50" i="3" l="1"/>
  <c r="H50" i="2"/>
  <c r="D51" i="2"/>
  <c r="E51" i="2"/>
  <c r="J51" i="2"/>
  <c r="I52" i="2" s="1"/>
  <c r="E51" i="3"/>
  <c r="D51" i="3"/>
  <c r="J51" i="3"/>
  <c r="I52" i="3" s="1"/>
  <c r="F50" i="3"/>
  <c r="G50" i="3" s="1"/>
  <c r="F50" i="2"/>
  <c r="G50" i="2" s="1"/>
  <c r="H51" i="3" l="1"/>
  <c r="H51" i="2"/>
  <c r="J52" i="2"/>
  <c r="I53" i="2" s="1"/>
  <c r="D52" i="2"/>
  <c r="E52" i="2"/>
  <c r="E52" i="3"/>
  <c r="D52" i="3"/>
  <c r="J52" i="3"/>
  <c r="I53" i="3" s="1"/>
  <c r="F51" i="3"/>
  <c r="G51" i="3" s="1"/>
  <c r="F51" i="2"/>
  <c r="G51" i="2" s="1"/>
  <c r="F52" i="3" l="1"/>
  <c r="G52" i="3" s="1"/>
  <c r="F52" i="2"/>
  <c r="G52" i="2" s="1"/>
  <c r="E53" i="3"/>
  <c r="J53" i="3"/>
  <c r="I54" i="3" s="1"/>
  <c r="D53" i="3"/>
  <c r="H52" i="3"/>
  <c r="H52" i="2"/>
  <c r="E53" i="2"/>
  <c r="J53" i="2"/>
  <c r="I54" i="2" s="1"/>
  <c r="D53" i="2"/>
  <c r="F53" i="2" l="1"/>
  <c r="G53" i="2" s="1"/>
  <c r="F53" i="3"/>
  <c r="G53" i="3" s="1"/>
  <c r="D54" i="2"/>
  <c r="E54" i="2"/>
  <c r="J54" i="2"/>
  <c r="I55" i="2" s="1"/>
  <c r="E54" i="3"/>
  <c r="J54" i="3"/>
  <c r="I55" i="3" s="1"/>
  <c r="D54" i="3"/>
  <c r="H53" i="2"/>
  <c r="H53" i="3"/>
  <c r="H54" i="2" l="1"/>
  <c r="H54" i="3"/>
  <c r="E55" i="2"/>
  <c r="J55" i="2"/>
  <c r="I56" i="2" s="1"/>
  <c r="D55" i="2"/>
  <c r="F54" i="3"/>
  <c r="G54" i="3" s="1"/>
  <c r="E55" i="3"/>
  <c r="D55" i="3"/>
  <c r="J55" i="3"/>
  <c r="I56" i="3" s="1"/>
  <c r="F54" i="2"/>
  <c r="G54" i="2" s="1"/>
  <c r="F55" i="2" l="1"/>
  <c r="G55" i="2" s="1"/>
  <c r="F55" i="3"/>
  <c r="G55" i="3" s="1"/>
  <c r="E56" i="3"/>
  <c r="D56" i="3"/>
  <c r="J56" i="3"/>
  <c r="I57" i="3" s="1"/>
  <c r="E56" i="2"/>
  <c r="J56" i="2"/>
  <c r="I57" i="2" s="1"/>
  <c r="D56" i="2"/>
  <c r="H55" i="3"/>
  <c r="H55" i="2"/>
  <c r="H56" i="2" l="1"/>
  <c r="H56" i="3"/>
  <c r="E57" i="3"/>
  <c r="D57" i="3"/>
  <c r="J57" i="3"/>
  <c r="I58" i="3" s="1"/>
  <c r="F56" i="2"/>
  <c r="G56" i="2" s="1"/>
  <c r="F56" i="3"/>
  <c r="G56" i="3" s="1"/>
  <c r="E57" i="2"/>
  <c r="J57" i="2"/>
  <c r="I58" i="2" s="1"/>
  <c r="D57" i="2"/>
  <c r="F57" i="3" l="1"/>
  <c r="G57" i="3" s="1"/>
  <c r="F57" i="2"/>
  <c r="G57" i="2" s="1"/>
  <c r="E58" i="3"/>
  <c r="D58" i="3"/>
  <c r="J58" i="3"/>
  <c r="I59" i="3" s="1"/>
  <c r="D58" i="2"/>
  <c r="J58" i="2"/>
  <c r="I59" i="2" s="1"/>
  <c r="E58" i="2"/>
  <c r="H57" i="2"/>
  <c r="H57" i="3"/>
  <c r="H58" i="3" l="1"/>
  <c r="F58" i="2"/>
  <c r="G58" i="2" s="1"/>
  <c r="E59" i="3"/>
  <c r="D59" i="3"/>
  <c r="J59" i="3"/>
  <c r="I60" i="3" s="1"/>
  <c r="H58" i="2"/>
  <c r="F58" i="3"/>
  <c r="G58" i="3" s="1"/>
  <c r="E59" i="2"/>
  <c r="J59" i="2"/>
  <c r="I60" i="2" s="1"/>
  <c r="D59" i="2"/>
  <c r="F59" i="3" l="1"/>
  <c r="G59" i="3" s="1"/>
  <c r="F59" i="2"/>
  <c r="G59" i="2" s="1"/>
  <c r="E60" i="3"/>
  <c r="D60" i="3"/>
  <c r="J60" i="3"/>
  <c r="I61" i="3" s="1"/>
  <c r="D60" i="2"/>
  <c r="J60" i="2"/>
  <c r="I61" i="2" s="1"/>
  <c r="E60" i="2"/>
  <c r="H59" i="2"/>
  <c r="H59" i="3"/>
  <c r="F60" i="3" l="1"/>
  <c r="G60" i="3" s="1"/>
  <c r="F60" i="2"/>
  <c r="G60" i="2" s="1"/>
  <c r="E61" i="3"/>
  <c r="D61" i="3"/>
  <c r="J61" i="3"/>
  <c r="I62" i="3" s="1"/>
  <c r="H60" i="2"/>
  <c r="E61" i="2"/>
  <c r="D61" i="2"/>
  <c r="J61" i="2"/>
  <c r="I62" i="2" s="1"/>
  <c r="H60" i="3"/>
  <c r="F61" i="3" l="1"/>
  <c r="G61" i="3" s="1"/>
  <c r="H61" i="3"/>
  <c r="H61" i="2"/>
  <c r="E62" i="3"/>
  <c r="D62" i="3"/>
  <c r="J62" i="3"/>
  <c r="I63" i="3" s="1"/>
  <c r="F61" i="2"/>
  <c r="G61" i="2" s="1"/>
  <c r="D62" i="2"/>
  <c r="J62" i="2"/>
  <c r="I63" i="2" s="1"/>
  <c r="E62" i="2"/>
  <c r="F62" i="3" l="1"/>
  <c r="G62" i="3" s="1"/>
  <c r="H62" i="2"/>
  <c r="E63" i="3"/>
  <c r="J63" i="3"/>
  <c r="I64" i="3" s="1"/>
  <c r="D63" i="3"/>
  <c r="E63" i="2"/>
  <c r="D63" i="2"/>
  <c r="J63" i="2"/>
  <c r="I64" i="2" s="1"/>
  <c r="F62" i="2"/>
  <c r="G62" i="2" s="1"/>
  <c r="H62" i="3"/>
  <c r="F63" i="3" l="1"/>
  <c r="G63" i="3" s="1"/>
  <c r="H63" i="2"/>
  <c r="E64" i="3"/>
  <c r="J64" i="3"/>
  <c r="I65" i="3" s="1"/>
  <c r="D64" i="3"/>
  <c r="D64" i="2"/>
  <c r="E64" i="2"/>
  <c r="J64" i="2"/>
  <c r="I65" i="2" s="1"/>
  <c r="F63" i="2"/>
  <c r="G63" i="2" s="1"/>
  <c r="H63" i="3"/>
  <c r="F64" i="3" l="1"/>
  <c r="G64" i="3" s="1"/>
  <c r="F64" i="2"/>
  <c r="G64" i="2" s="1"/>
  <c r="E65" i="3"/>
  <c r="D65" i="3"/>
  <c r="J65" i="3"/>
  <c r="I66" i="3" s="1"/>
  <c r="E65" i="2"/>
  <c r="J65" i="2"/>
  <c r="I66" i="2" s="1"/>
  <c r="D65" i="2"/>
  <c r="H64" i="2"/>
  <c r="H64" i="3"/>
  <c r="F65" i="3" l="1"/>
  <c r="G65" i="3" s="1"/>
  <c r="H65" i="2"/>
  <c r="E66" i="3"/>
  <c r="D66" i="3"/>
  <c r="J66" i="3"/>
  <c r="I67" i="3" s="1"/>
  <c r="F65" i="2"/>
  <c r="G65" i="2" s="1"/>
  <c r="E66" i="2"/>
  <c r="J66" i="2"/>
  <c r="I67" i="2" s="1"/>
  <c r="D66" i="2"/>
  <c r="H65" i="3"/>
  <c r="F66" i="2" l="1"/>
  <c r="G66" i="2" s="1"/>
  <c r="F66" i="3"/>
  <c r="G66" i="3" s="1"/>
  <c r="E67" i="3"/>
  <c r="D67" i="3"/>
  <c r="J67" i="3"/>
  <c r="I68" i="3" s="1"/>
  <c r="D67" i="2"/>
  <c r="E67" i="2"/>
  <c r="J67" i="2"/>
  <c r="I68" i="2" s="1"/>
  <c r="H66" i="2"/>
  <c r="H66" i="3"/>
  <c r="F67" i="2" l="1"/>
  <c r="G67" i="2" s="1"/>
  <c r="F67" i="3"/>
  <c r="G67" i="3" s="1"/>
  <c r="E68" i="3"/>
  <c r="J68" i="3"/>
  <c r="I69" i="3" s="1"/>
  <c r="D68" i="3"/>
  <c r="D68" i="2"/>
  <c r="E68" i="2"/>
  <c r="J68" i="2"/>
  <c r="I69" i="2" s="1"/>
  <c r="H67" i="2"/>
  <c r="H67" i="3"/>
  <c r="F68" i="3" l="1"/>
  <c r="G68" i="3" s="1"/>
  <c r="F68" i="2"/>
  <c r="G68" i="2" s="1"/>
  <c r="E69" i="3"/>
  <c r="J69" i="3"/>
  <c r="I70" i="3" s="1"/>
  <c r="D69" i="3"/>
  <c r="E69" i="2"/>
  <c r="J69" i="2"/>
  <c r="I70" i="2" s="1"/>
  <c r="D69" i="2"/>
  <c r="H68" i="2"/>
  <c r="H68" i="3"/>
  <c r="F69" i="3" l="1"/>
  <c r="G69" i="3" s="1"/>
  <c r="F69" i="2"/>
  <c r="G69" i="2" s="1"/>
  <c r="H69" i="2"/>
  <c r="E70" i="3"/>
  <c r="J70" i="3"/>
  <c r="I71" i="3" s="1"/>
  <c r="D70" i="3"/>
  <c r="D70" i="2"/>
  <c r="E70" i="2"/>
  <c r="J70" i="2"/>
  <c r="I71" i="2" s="1"/>
  <c r="H69" i="3"/>
  <c r="H70" i="2" l="1"/>
  <c r="F70" i="3"/>
  <c r="G70" i="3" s="1"/>
  <c r="E71" i="3"/>
  <c r="D71" i="3"/>
  <c r="J71" i="3"/>
  <c r="H70" i="3"/>
  <c r="E71" i="2"/>
  <c r="D71" i="2"/>
  <c r="J71" i="2"/>
  <c r="F70" i="2"/>
  <c r="G70" i="2" s="1"/>
  <c r="F71" i="2" l="1"/>
  <c r="M71" i="2" s="1"/>
  <c r="F71" i="3"/>
  <c r="H71" i="2"/>
  <c r="H71" i="3"/>
  <c r="G71" i="3" l="1"/>
  <c r="M71" i="3"/>
  <c r="G71" i="2"/>
  <c r="O71" i="3" l="1"/>
  <c r="N71" i="3"/>
  <c r="P71" i="3" s="1"/>
  <c r="O71" i="2"/>
  <c r="N71" i="2"/>
  <c r="P71" i="2" l="1"/>
</calcChain>
</file>

<file path=xl/sharedStrings.xml><?xml version="1.0" encoding="utf-8"?>
<sst xmlns="http://schemas.openxmlformats.org/spreadsheetml/2006/main" count="326" uniqueCount="120">
  <si>
    <t>Kenngrößen</t>
  </si>
  <si>
    <t>Freileitung</t>
  </si>
  <si>
    <t>Kabel</t>
  </si>
  <si>
    <t>R'=</t>
  </si>
  <si>
    <t>L'=</t>
  </si>
  <si>
    <t>C'=</t>
  </si>
  <si>
    <t>d=</t>
  </si>
  <si>
    <t>km</t>
  </si>
  <si>
    <t>mOhm</t>
  </si>
  <si>
    <t>mH</t>
  </si>
  <si>
    <t>nF</t>
  </si>
  <si>
    <t>mOhm/km</t>
  </si>
  <si>
    <t>mH/km</t>
  </si>
  <si>
    <t>nF/km</t>
  </si>
  <si>
    <t>S=</t>
  </si>
  <si>
    <t>MVA</t>
  </si>
  <si>
    <t>RW=</t>
  </si>
  <si>
    <t>Pnat=</t>
  </si>
  <si>
    <t>Istrang=</t>
  </si>
  <si>
    <t>R=</t>
  </si>
  <si>
    <t>L=</t>
  </si>
  <si>
    <t>C=</t>
  </si>
  <si>
    <t>Ohm</t>
  </si>
  <si>
    <t>A</t>
  </si>
  <si>
    <t>Un=</t>
  </si>
  <si>
    <t>kV</t>
  </si>
  <si>
    <t>MW</t>
  </si>
  <si>
    <t>X/R =</t>
  </si>
  <si>
    <t>X'=</t>
  </si>
  <si>
    <t>Kenngrößen:</t>
  </si>
  <si>
    <t>Ohm/km</t>
  </si>
  <si>
    <t>U=</t>
  </si>
  <si>
    <t>X=</t>
  </si>
  <si>
    <t>Δl=</t>
  </si>
  <si>
    <t>ZC=</t>
  </si>
  <si>
    <t>RL=</t>
  </si>
  <si>
    <t>I=</t>
  </si>
  <si>
    <t>kA</t>
  </si>
  <si>
    <r>
      <rPr>
        <u/>
        <sz val="12"/>
        <color rgb="FF000000"/>
        <rFont val="Calibri"/>
        <family val="2"/>
      </rPr>
      <t>Z</t>
    </r>
    <r>
      <rPr>
        <sz val="12"/>
        <color theme="1"/>
        <rFont val="Calibri"/>
        <family val="2"/>
        <scheme val="minor"/>
      </rPr>
      <t>C=</t>
    </r>
  </si>
  <si>
    <t>Cs=</t>
  </si>
  <si>
    <t>uF</t>
  </si>
  <si>
    <t>Xcs=</t>
  </si>
  <si>
    <t>Stufe (jeder n-te DSR an):</t>
  </si>
  <si>
    <t>R'W=</t>
  </si>
  <si>
    <t>Eingaben</t>
  </si>
  <si>
    <t>Ausgaben</t>
  </si>
  <si>
    <t>Computer</t>
  </si>
  <si>
    <t>Index i</t>
  </si>
  <si>
    <t>Länge [km]</t>
  </si>
  <si>
    <t>ein/aus</t>
  </si>
  <si>
    <r>
      <t>Re {</t>
    </r>
    <r>
      <rPr>
        <u/>
        <sz val="12"/>
        <color rgb="FF000000"/>
        <rFont val="Calibri"/>
        <family val="2"/>
      </rPr>
      <t>Z</t>
    </r>
    <r>
      <rPr>
        <sz val="12"/>
        <color theme="1"/>
        <rFont val="Calibri"/>
        <family val="2"/>
        <scheme val="minor"/>
      </rPr>
      <t>i}</t>
    </r>
  </si>
  <si>
    <r>
      <t>Im{</t>
    </r>
    <r>
      <rPr>
        <u/>
        <sz val="12"/>
        <color rgb="FF000000"/>
        <rFont val="Calibri"/>
        <family val="2"/>
      </rPr>
      <t>Z</t>
    </r>
    <r>
      <rPr>
        <sz val="12"/>
        <color theme="1"/>
        <rFont val="Calibri"/>
        <family val="2"/>
        <scheme val="minor"/>
      </rPr>
      <t>i}</t>
    </r>
  </si>
  <si>
    <r>
      <t>|</t>
    </r>
    <r>
      <rPr>
        <u/>
        <sz val="12"/>
        <color rgb="FF000000"/>
        <rFont val="Calibri"/>
        <family val="2"/>
      </rPr>
      <t>Z</t>
    </r>
    <r>
      <rPr>
        <sz val="12"/>
        <color theme="1"/>
        <rFont val="Calibri"/>
        <family val="2"/>
        <scheme val="minor"/>
      </rPr>
      <t>i|</t>
    </r>
  </si>
  <si>
    <r>
      <t>|</t>
    </r>
    <r>
      <rPr>
        <u/>
        <sz val="12"/>
        <color rgb="FF000000"/>
        <rFont val="Calibri"/>
        <family val="2"/>
      </rPr>
      <t>Z</t>
    </r>
    <r>
      <rPr>
        <sz val="12"/>
        <color theme="1"/>
        <rFont val="Calibri"/>
        <family val="2"/>
        <scheme val="minor"/>
      </rPr>
      <t>i|/RL</t>
    </r>
  </si>
  <si>
    <t>cosφ</t>
  </si>
  <si>
    <r>
      <rPr>
        <u/>
        <sz val="12"/>
        <color rgb="FF000000"/>
        <rFont val="Calibri"/>
        <family val="2"/>
      </rPr>
      <t>Z</t>
    </r>
    <r>
      <rPr>
        <sz val="12"/>
        <color theme="1"/>
        <rFont val="Calibri"/>
        <family val="2"/>
        <scheme val="minor"/>
      </rPr>
      <t>i</t>
    </r>
  </si>
  <si>
    <t>Zi1</t>
  </si>
  <si>
    <t>Zi2</t>
  </si>
  <si>
    <t>vc=</t>
  </si>
  <si>
    <t>10^6 m/s</t>
  </si>
  <si>
    <t>Wellenlänge</t>
  </si>
  <si>
    <t>λ=</t>
  </si>
  <si>
    <t>Lastwiderstand RL =</t>
  </si>
  <si>
    <t>Strangstrom:</t>
  </si>
  <si>
    <t>Betrieb</t>
  </si>
  <si>
    <t>Faktor Stherm/Pnat =</t>
  </si>
  <si>
    <t>Stherm=</t>
  </si>
  <si>
    <t>Grenzleistung</t>
  </si>
  <si>
    <t>Faktor Sn/Pnat:</t>
  </si>
  <si>
    <t>Beispiel für PI-Ersatzschaltung:</t>
  </si>
  <si>
    <t>bei Betrieb mit thermischer</t>
  </si>
  <si>
    <t>Eingabefelder in Grün:</t>
  </si>
  <si>
    <t>PI-Ersatzschaltbild Freileitung:</t>
  </si>
  <si>
    <t>YL'=</t>
  </si>
  <si>
    <t>ZL''=</t>
  </si>
  <si>
    <t>ZL'=</t>
  </si>
  <si>
    <t>YL''=</t>
  </si>
  <si>
    <t>Y1=</t>
  </si>
  <si>
    <t>Z1=</t>
  </si>
  <si>
    <t>Betrag</t>
  </si>
  <si>
    <t>Betrag (Ω)</t>
  </si>
  <si>
    <t>Phase (rad)</t>
  </si>
  <si>
    <t>cos(φ)</t>
  </si>
  <si>
    <t>Blindleistung Q1:</t>
  </si>
  <si>
    <t>Mvar</t>
  </si>
  <si>
    <t>PI-Ersatzschaltbild Kabel:</t>
  </si>
  <si>
    <t>Leistung an RL:</t>
  </si>
  <si>
    <t>Leistung [MW]</t>
  </si>
  <si>
    <t>Lastwiderstand [Ω]</t>
  </si>
  <si>
    <t>Blindleistung Freileitung [MVar]</t>
  </si>
  <si>
    <t>Blindleistung Kabelstrecke [Mvar]</t>
  </si>
  <si>
    <t>Realteil</t>
  </si>
  <si>
    <t>Imaginärteil</t>
  </si>
  <si>
    <t>Strangstrom [kA] Freileitung an Z1</t>
  </si>
  <si>
    <t>Strangstrom [kA] Kabelstrecke an Z1</t>
  </si>
  <si>
    <t>Serienresonanz:</t>
  </si>
  <si>
    <t>MHz</t>
  </si>
  <si>
    <t>Q</t>
  </si>
  <si>
    <t>Istrang [kA]</t>
  </si>
  <si>
    <t>Q [MVar]</t>
  </si>
  <si>
    <t>P [MW]</t>
  </si>
  <si>
    <t>S [MVA]</t>
  </si>
  <si>
    <t>Strangstrom an Z1:</t>
  </si>
  <si>
    <t>Wirkleistung:</t>
  </si>
  <si>
    <t>Wirkleistung Freileitung [MW]</t>
  </si>
  <si>
    <t>Scheinleistung Freileitung [MVA]</t>
  </si>
  <si>
    <t>Lastwiderstand Leitung 1 [Ω]</t>
  </si>
  <si>
    <t>Lastwiderstand Leitung 2  [Ω]</t>
  </si>
  <si>
    <t>Strangstrom [kA] Leitung 1</t>
  </si>
  <si>
    <t>Blindleistung Leitung 1 [MVar]</t>
  </si>
  <si>
    <t>Wirkleistung Leitung 1 [MW]</t>
  </si>
  <si>
    <t>Scheinleistung Leitung 1 [MVA]</t>
  </si>
  <si>
    <t>Strangstrom [kA] Leitung 2</t>
  </si>
  <si>
    <t>Blindleistung Leitung 2 [Mvar]</t>
  </si>
  <si>
    <t>Wirkleistung Leitung 2 [MW]</t>
  </si>
  <si>
    <t>Scheinleistung Leitung 2 [MVA]</t>
  </si>
  <si>
    <t>PI-Ersatzschaltbild Leitung 1:</t>
  </si>
  <si>
    <t>PI-Ersatzschaltbild Leitung 2:</t>
  </si>
  <si>
    <t>*10^6</t>
  </si>
  <si>
    <t>m/s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</si>
</sst>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00"/>
  </numFmts>
  <fonts count="6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2" tint="-9.9978637043366805E-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rgb="FFE4DFEC"/>
        <bgColor rgb="FFE4DFE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DE9D9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1" applyFont="1"/>
    <xf numFmtId="0" fontId="0" fillId="2" borderId="0" xfId="1" applyFont="1" applyFill="1"/>
    <xf numFmtId="0" fontId="0" fillId="3" borderId="0" xfId="1" applyFont="1" applyFill="1"/>
    <xf numFmtId="1" fontId="0" fillId="0" borderId="0" xfId="1" applyNumberFormat="1" applyFont="1"/>
    <xf numFmtId="0" fontId="0" fillId="4" borderId="1" xfId="1" applyFont="1" applyFill="1" applyBorder="1"/>
    <xf numFmtId="2" fontId="0" fillId="4" borderId="2" xfId="1" applyNumberFormat="1" applyFont="1" applyFill="1" applyBorder="1"/>
    <xf numFmtId="0" fontId="0" fillId="4" borderId="3" xfId="1" applyFont="1" applyFill="1" applyBorder="1"/>
    <xf numFmtId="0" fontId="0" fillId="4" borderId="4" xfId="1" applyFont="1" applyFill="1" applyBorder="1"/>
    <xf numFmtId="1" fontId="0" fillId="4" borderId="5" xfId="1" applyNumberFormat="1" applyFont="1" applyFill="1" applyBorder="1"/>
    <xf numFmtId="0" fontId="0" fillId="4" borderId="6" xfId="1" applyFont="1" applyFill="1" applyBorder="1"/>
    <xf numFmtId="2" fontId="0" fillId="0" borderId="0" xfId="1" applyNumberFormat="1" applyFont="1"/>
    <xf numFmtId="0" fontId="0" fillId="4" borderId="7" xfId="1" applyFont="1" applyFill="1" applyBorder="1"/>
    <xf numFmtId="0" fontId="0" fillId="4" borderId="9" xfId="1" applyFont="1" applyFill="1" applyBorder="1"/>
    <xf numFmtId="0" fontId="0" fillId="0" borderId="1" xfId="1" applyFont="1" applyBorder="1" applyAlignment="1">
      <alignment horizontal="center"/>
    </xf>
    <xf numFmtId="0" fontId="0" fillId="0" borderId="2" xfId="1" applyFont="1" applyBorder="1"/>
    <xf numFmtId="0" fontId="0" fillId="0" borderId="3" xfId="1" applyFont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0" fillId="0" borderId="11" xfId="1" applyFont="1" applyBorder="1" applyAlignment="1">
      <alignment horizontal="center"/>
    </xf>
    <xf numFmtId="0" fontId="0" fillId="0" borderId="0" xfId="1" applyFont="1" applyAlignment="1">
      <alignment horizontal="center"/>
    </xf>
    <xf numFmtId="0" fontId="0" fillId="0" borderId="12" xfId="1" applyFont="1" applyBorder="1" applyAlignment="1">
      <alignment horizontal="center"/>
    </xf>
    <xf numFmtId="0" fontId="0" fillId="3" borderId="0" xfId="1" applyFont="1" applyFill="1" applyAlignment="1">
      <alignment horizontal="center"/>
    </xf>
    <xf numFmtId="0" fontId="0" fillId="0" borderId="12" xfId="1" applyFont="1" applyBorder="1"/>
    <xf numFmtId="164" fontId="0" fillId="0" borderId="1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2" fontId="0" fillId="0" borderId="11" xfId="1" applyNumberFormat="1" applyFont="1" applyBorder="1"/>
    <xf numFmtId="0" fontId="0" fillId="0" borderId="4" xfId="1" applyFont="1" applyBorder="1" applyAlignment="1">
      <alignment horizontal="center"/>
    </xf>
    <xf numFmtId="0" fontId="0" fillId="0" borderId="5" xfId="1" applyFont="1" applyBorder="1" applyAlignment="1">
      <alignment horizontal="center"/>
    </xf>
    <xf numFmtId="0" fontId="0" fillId="0" borderId="6" xfId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2" fontId="0" fillId="0" borderId="4" xfId="1" applyNumberFormat="1" applyFont="1" applyBorder="1"/>
    <xf numFmtId="2" fontId="0" fillId="0" borderId="5" xfId="1" applyNumberFormat="1" applyFont="1" applyBorder="1"/>
    <xf numFmtId="0" fontId="0" fillId="0" borderId="6" xfId="1" applyFont="1" applyBorder="1"/>
    <xf numFmtId="0" fontId="1" fillId="0" borderId="0" xfId="1"/>
    <xf numFmtId="2" fontId="0" fillId="4" borderId="8" xfId="1" applyNumberFormat="1" applyFont="1" applyFill="1" applyBorder="1"/>
    <xf numFmtId="0" fontId="0" fillId="6" borderId="13" xfId="1" applyFont="1" applyFill="1" applyBorder="1"/>
    <xf numFmtId="165" fontId="0" fillId="6" borderId="14" xfId="1" applyNumberFormat="1" applyFont="1" applyFill="1" applyBorder="1"/>
    <xf numFmtId="0" fontId="0" fillId="7" borderId="15" xfId="1" applyFont="1" applyFill="1" applyBorder="1"/>
    <xf numFmtId="0" fontId="0" fillId="6" borderId="0" xfId="1" applyFont="1" applyFill="1"/>
    <xf numFmtId="1" fontId="0" fillId="6" borderId="0" xfId="1" applyNumberFormat="1" applyFont="1" applyFill="1"/>
    <xf numFmtId="164" fontId="0" fillId="6" borderId="0" xfId="1" applyNumberFormat="1" applyFont="1" applyFill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4" xfId="0" applyBorder="1"/>
    <xf numFmtId="0" fontId="0" fillId="5" borderId="16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9" borderId="0" xfId="0" applyFill="1"/>
    <xf numFmtId="0" fontId="0" fillId="9" borderId="0" xfId="0" applyFill="1" applyAlignment="1">
      <alignment horizontal="center"/>
    </xf>
    <xf numFmtId="164" fontId="0" fillId="5" borderId="16" xfId="0" applyNumberFormat="1" applyFill="1" applyBorder="1" applyAlignment="1">
      <alignment horizontal="center"/>
    </xf>
    <xf numFmtId="0" fontId="0" fillId="8" borderId="17" xfId="0" applyFill="1" applyBorder="1"/>
    <xf numFmtId="0" fontId="0" fillId="8" borderId="18" xfId="0" applyFill="1" applyBorder="1"/>
    <xf numFmtId="0" fontId="0" fillId="8" borderId="19" xfId="0" applyFill="1" applyBorder="1"/>
    <xf numFmtId="0" fontId="0" fillId="8" borderId="20" xfId="0" applyFill="1" applyBorder="1"/>
    <xf numFmtId="0" fontId="0" fillId="8" borderId="0" xfId="0" applyFill="1"/>
    <xf numFmtId="0" fontId="0" fillId="8" borderId="21" xfId="0" applyFill="1" applyBorder="1"/>
    <xf numFmtId="0" fontId="0" fillId="8" borderId="22" xfId="0" applyFill="1" applyBorder="1"/>
    <xf numFmtId="0" fontId="0" fillId="8" borderId="23" xfId="0" applyFill="1" applyBorder="1"/>
    <xf numFmtId="0" fontId="0" fillId="8" borderId="24" xfId="0" applyFill="1" applyBorder="1"/>
    <xf numFmtId="0" fontId="4" fillId="0" borderId="13" xfId="0" applyFont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0" borderId="14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6" xfId="0" applyBorder="1" applyAlignment="1">
      <alignment horizontal="left"/>
    </xf>
    <xf numFmtId="165" fontId="0" fillId="0" borderId="15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0" xfId="0" applyFont="1"/>
    <xf numFmtId="0" fontId="0" fillId="10" borderId="0" xfId="0" applyFill="1"/>
    <xf numFmtId="1" fontId="0" fillId="10" borderId="14" xfId="0" applyNumberFormat="1" applyFill="1" applyBorder="1" applyAlignment="1">
      <alignment horizontal="center"/>
    </xf>
    <xf numFmtId="164" fontId="0" fillId="10" borderId="14" xfId="0" applyNumberFormat="1" applyFill="1" applyBorder="1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11" borderId="13" xfId="0" applyFill="1" applyBorder="1" applyAlignment="1">
      <alignment horizontal="center"/>
    </xf>
    <xf numFmtId="165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5" borderId="14" xfId="0" applyFill="1" applyBorder="1" applyAlignment="1">
      <alignment horizontal="center"/>
    </xf>
    <xf numFmtId="0" fontId="0" fillId="2" borderId="0" xfId="1" applyFont="1" applyFill="1" applyAlignment="1">
      <alignment horizontal="center"/>
    </xf>
    <xf numFmtId="2" fontId="0" fillId="2" borderId="0" xfId="1" applyNumberFormat="1" applyFont="1" applyFill="1" applyAlignment="1">
      <alignment horizontal="center"/>
    </xf>
    <xf numFmtId="165" fontId="0" fillId="0" borderId="0" xfId="0" applyNumberFormat="1" applyAlignment="1">
      <alignment horizontal="left"/>
    </xf>
    <xf numFmtId="165" fontId="0" fillId="0" borderId="0" xfId="0" applyNumberFormat="1"/>
    <xf numFmtId="166" fontId="0" fillId="0" borderId="0" xfId="0" applyNumberFormat="1" applyAlignment="1">
      <alignment horizontal="center"/>
    </xf>
    <xf numFmtId="1" fontId="0" fillId="0" borderId="0" xfId="0" applyNumberFormat="1"/>
    <xf numFmtId="166" fontId="3" fillId="0" borderId="0" xfId="0" applyNumberFormat="1" applyFont="1" applyAlignment="1">
      <alignment horizontal="center"/>
    </xf>
    <xf numFmtId="2" fontId="0" fillId="2" borderId="17" xfId="1" applyNumberFormat="1" applyFont="1" applyFill="1" applyBorder="1" applyAlignment="1">
      <alignment horizontal="center"/>
    </xf>
    <xf numFmtId="1" fontId="0" fillId="0" borderId="18" xfId="1" applyNumberFormat="1" applyFont="1" applyBorder="1" applyAlignment="1">
      <alignment horizontal="center"/>
    </xf>
    <xf numFmtId="1" fontId="0" fillId="0" borderId="19" xfId="1" applyNumberFormat="1" applyFont="1" applyBorder="1" applyAlignment="1">
      <alignment horizontal="center"/>
    </xf>
    <xf numFmtId="0" fontId="0" fillId="2" borderId="22" xfId="1" applyFont="1" applyFill="1" applyBorder="1" applyAlignment="1">
      <alignment horizontal="center"/>
    </xf>
    <xf numFmtId="1" fontId="0" fillId="0" borderId="23" xfId="1" applyNumberFormat="1" applyFont="1" applyBorder="1" applyAlignment="1">
      <alignment horizontal="center"/>
    </xf>
    <xf numFmtId="0" fontId="0" fillId="0" borderId="23" xfId="1" applyFont="1" applyBorder="1" applyAlignment="1">
      <alignment horizontal="center"/>
    </xf>
    <xf numFmtId="0" fontId="0" fillId="0" borderId="24" xfId="1" applyFont="1" applyBorder="1" applyAlignment="1">
      <alignment horizontal="center"/>
    </xf>
    <xf numFmtId="1" fontId="0" fillId="3" borderId="0" xfId="1" applyNumberFormat="1" applyFont="1" applyFill="1"/>
    <xf numFmtId="1" fontId="0" fillId="0" borderId="0" xfId="1" applyNumberFormat="1" applyFont="1" applyAlignment="1">
      <alignment horizontal="center"/>
    </xf>
    <xf numFmtId="1" fontId="0" fillId="0" borderId="5" xfId="1" applyNumberFormat="1" applyFont="1" applyBorder="1" applyAlignment="1">
      <alignment horizontal="center"/>
    </xf>
    <xf numFmtId="0" fontId="0" fillId="12" borderId="0" xfId="1" applyFont="1" applyFill="1"/>
    <xf numFmtId="0" fontId="0" fillId="0" borderId="10" xfId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</cellXfs>
  <cellStyles count="2">
    <cellStyle name="Standard" xfId="0" builtinId="0"/>
    <cellStyle name="Standard 2 2" xfId="1" xr:uid="{EA672170-1034-9D4B-AFBB-60CF264778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Blindleistungsbedarf Q(P)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Kenngößen_380kV!$I$22:$AA$22</c:f>
              <c:numCache>
                <c:formatCode>General</c:formatCode>
                <c:ptCount val="19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  <c:pt idx="16">
                  <c:v>3200</c:v>
                </c:pt>
                <c:pt idx="17">
                  <c:v>3400</c:v>
                </c:pt>
                <c:pt idx="18">
                  <c:v>3600</c:v>
                </c:pt>
              </c:numCache>
            </c:numRef>
          </c:cat>
          <c:val>
            <c:numRef>
              <c:f>Kenngößen_380kV!$I$25:$AA$25</c:f>
              <c:numCache>
                <c:formatCode>0.0</c:formatCode>
                <c:ptCount val="19"/>
                <c:pt idx="0">
                  <c:v>-64.599304668772177</c:v>
                </c:pt>
                <c:pt idx="1">
                  <c:v>-57.430105291475485</c:v>
                </c:pt>
                <c:pt idx="2">
                  <c:v>-36.383717124466557</c:v>
                </c:pt>
                <c:pt idx="3">
                  <c:v>-1.919401123128468</c:v>
                </c:pt>
                <c:pt idx="4">
                  <c:v>45.327976884980835</c:v>
                </c:pt>
                <c:pt idx="5">
                  <c:v>104.57118012589436</c:v>
                </c:pt>
                <c:pt idx="6">
                  <c:v>174.89763031260958</c:v>
                </c:pt>
                <c:pt idx="7">
                  <c:v>255.29864455272849</c:v>
                </c:pt>
                <c:pt idx="8">
                  <c:v>344.69931160740089</c:v>
                </c:pt>
                <c:pt idx="9">
                  <c:v>441.9875792684258</c:v>
                </c:pt>
                <c:pt idx="10">
                  <c:v>546.04135447860222</c:v>
                </c:pt>
                <c:pt idx="11">
                  <c:v>655.75270224273731</c:v>
                </c:pt>
                <c:pt idx="12">
                  <c:v>770.04853324637384</c:v>
                </c:pt>
                <c:pt idx="13">
                  <c:v>887.90746305695473</c:v>
                </c:pt>
                <c:pt idx="14">
                  <c:v>1008.3727849938133</c:v>
                </c:pt>
                <c:pt idx="15">
                  <c:v>1130.5617099265198</c:v>
                </c:pt>
                <c:pt idx="16">
                  <c:v>1253.6711832103988</c:v>
                </c:pt>
                <c:pt idx="17">
                  <c:v>1376.9806922084367</c:v>
                </c:pt>
                <c:pt idx="18">
                  <c:v>1499.8525327061675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550A-4140-BE3A-C6206DB487F8}"/>
            </c:ext>
          </c:extLst>
        </c:ser>
        <c:ser>
          <c:idx val="4"/>
          <c:order val="1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Kenngößen_380kV!$I$22:$AA$22</c:f>
              <c:numCache>
                <c:formatCode>General</c:formatCode>
                <c:ptCount val="19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  <c:pt idx="16">
                  <c:v>3200</c:v>
                </c:pt>
                <c:pt idx="17">
                  <c:v>3400</c:v>
                </c:pt>
                <c:pt idx="18">
                  <c:v>3600</c:v>
                </c:pt>
              </c:numCache>
            </c:numRef>
          </c:cat>
          <c:val>
            <c:numRef>
              <c:f>Kenngößen_380kV!$I$29:$AA$29</c:f>
              <c:numCache>
                <c:formatCode>0.0</c:formatCode>
                <c:ptCount val="19"/>
                <c:pt idx="0">
                  <c:v>-1154.8862275641591</c:v>
                </c:pt>
                <c:pt idx="1">
                  <c:v>-1146.2926532570123</c:v>
                </c:pt>
                <c:pt idx="2">
                  <c:v>-1124.8373439528141</c:v>
                </c:pt>
                <c:pt idx="3">
                  <c:v>-1090.8431782445332</c:v>
                </c:pt>
                <c:pt idx="4">
                  <c:v>-1044.7411731630937</c:v>
                </c:pt>
                <c:pt idx="5">
                  <c:v>-987.05999251616731</c:v>
                </c:pt>
                <c:pt idx="6">
                  <c:v>-918.41373094762855</c:v>
                </c:pt>
                <c:pt idx="7">
                  <c:v>-839.48845996338946</c:v>
                </c:pt>
                <c:pt idx="8">
                  <c:v>-751.02803778560815</c:v>
                </c:pt>
                <c:pt idx="9">
                  <c:v>-653.81967293490402</c:v>
                </c:pt>
                <c:pt idx="10">
                  <c:v>-548.67969549282236</c:v>
                </c:pt>
                <c:pt idx="11">
                  <c:v>-436.4399350851707</c:v>
                </c:pt>
                <c:pt idx="12">
                  <c:v>-317.93503654379805</c:v>
                </c:pt>
                <c:pt idx="13">
                  <c:v>-193.99096888926334</c:v>
                </c:pt>
                <c:pt idx="14">
                  <c:v>-65.414906270329524</c:v>
                </c:pt>
                <c:pt idx="15">
                  <c:v>67.013414459132434</c:v>
                </c:pt>
                <c:pt idx="16">
                  <c:v>202.54882205502889</c:v>
                </c:pt>
                <c:pt idx="17">
                  <c:v>340.4863455341125</c:v>
                </c:pt>
                <c:pt idx="18">
                  <c:v>480.16542278545103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550A-4140-BE3A-C6206DB48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635216"/>
        <c:axId val="491122464"/>
      </c:lineChart>
      <c:catAx>
        <c:axId val="42263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1122464"/>
        <c:crosses val="autoZero"/>
        <c:auto val="1"/>
        <c:lblAlgn val="ctr"/>
        <c:lblOffset val="100"/>
        <c:noMultiLvlLbl val="0"/>
      </c:catAx>
      <c:valAx>
        <c:axId val="49112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263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Leistungsbilanz Q(I), P(I), S(I)</a:t>
            </a:r>
          </a:p>
        </c:rich>
      </c:tx>
      <c:layout>
        <c:manualLayout>
          <c:xMode val="edge"/>
          <c:yMode val="edge"/>
          <c:x val="0.40324224484944432"/>
          <c:y val="8.61855831014563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Kenngößen_380kV!$H$25</c:f>
              <c:strCache>
                <c:ptCount val="1"/>
                <c:pt idx="0">
                  <c:v>Blindleistung Freileitung [MVar]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Kenngößen_380kV!$I$24:$AC$24</c:f>
              <c:numCache>
                <c:formatCode>0.000</c:formatCode>
                <c:ptCount val="21"/>
                <c:pt idx="0">
                  <c:v>9.814849049796194E-2</c:v>
                </c:pt>
                <c:pt idx="1">
                  <c:v>0.31853027311471477</c:v>
                </c:pt>
                <c:pt idx="2">
                  <c:v>0.61176976760936641</c:v>
                </c:pt>
                <c:pt idx="3">
                  <c:v>0.90667417310156551</c:v>
                </c:pt>
                <c:pt idx="4">
                  <c:v>1.1985746144491327</c:v>
                </c:pt>
                <c:pt idx="5">
                  <c:v>1.4857912575873735</c:v>
                </c:pt>
                <c:pt idx="6">
                  <c:v>1.7672437266723235</c:v>
                </c:pt>
                <c:pt idx="7">
                  <c:v>2.0420968387511471</c:v>
                </c:pt>
                <c:pt idx="8">
                  <c:v>2.3096736252638235</c:v>
                </c:pt>
                <c:pt idx="9">
                  <c:v>2.5694264469037043</c:v>
                </c:pt>
                <c:pt idx="10">
                  <c:v>2.8209237659622657</c:v>
                </c:pt>
                <c:pt idx="11">
                  <c:v>3.0638411957783327</c:v>
                </c:pt>
                <c:pt idx="12">
                  <c:v>3.2979533312519518</c:v>
                </c:pt>
                <c:pt idx="13">
                  <c:v>3.5231253120180326</c:v>
                </c:pt>
                <c:pt idx="14">
                  <c:v>3.7393039316263668</c:v>
                </c:pt>
                <c:pt idx="15">
                  <c:v>3.9465084219595439</c:v>
                </c:pt>
                <c:pt idx="16">
                  <c:v>4.1448211443109297</c:v>
                </c:pt>
                <c:pt idx="17">
                  <c:v>4.3343784294573968</c:v>
                </c:pt>
                <c:pt idx="18">
                  <c:v>4.5153617800445742</c:v>
                </c:pt>
                <c:pt idx="19">
                  <c:v>4.6879896037532562</c:v>
                </c:pt>
                <c:pt idx="20">
                  <c:v>4.8525095972724532</c:v>
                </c:pt>
              </c:numCache>
            </c:numRef>
          </c:cat>
          <c:val>
            <c:numRef>
              <c:f>Kenngößen_380kV!$I$25:$AC$25</c:f>
              <c:numCache>
                <c:formatCode>0.0</c:formatCode>
                <c:ptCount val="21"/>
                <c:pt idx="0">
                  <c:v>-64.599304668772177</c:v>
                </c:pt>
                <c:pt idx="1">
                  <c:v>-57.430105291475485</c:v>
                </c:pt>
                <c:pt idx="2">
                  <c:v>-36.383717124466557</c:v>
                </c:pt>
                <c:pt idx="3">
                  <c:v>-1.919401123128468</c:v>
                </c:pt>
                <c:pt idx="4">
                  <c:v>45.327976884980835</c:v>
                </c:pt>
                <c:pt idx="5">
                  <c:v>104.57118012589436</c:v>
                </c:pt>
                <c:pt idx="6">
                  <c:v>174.89763031260958</c:v>
                </c:pt>
                <c:pt idx="7">
                  <c:v>255.29864455272849</c:v>
                </c:pt>
                <c:pt idx="8">
                  <c:v>344.69931160740089</c:v>
                </c:pt>
                <c:pt idx="9">
                  <c:v>441.9875792684258</c:v>
                </c:pt>
                <c:pt idx="10">
                  <c:v>546.04135447860222</c:v>
                </c:pt>
                <c:pt idx="11">
                  <c:v>655.75270224273731</c:v>
                </c:pt>
                <c:pt idx="12">
                  <c:v>770.04853324637384</c:v>
                </c:pt>
                <c:pt idx="13">
                  <c:v>887.90746305695473</c:v>
                </c:pt>
                <c:pt idx="14">
                  <c:v>1008.3727849938133</c:v>
                </c:pt>
                <c:pt idx="15">
                  <c:v>1130.5617099265198</c:v>
                </c:pt>
                <c:pt idx="16">
                  <c:v>1253.6711832103988</c:v>
                </c:pt>
                <c:pt idx="17">
                  <c:v>1376.9806922084367</c:v>
                </c:pt>
                <c:pt idx="18">
                  <c:v>1499.8525327061675</c:v>
                </c:pt>
                <c:pt idx="19">
                  <c:v>1621.7300172099913</c:v>
                </c:pt>
                <c:pt idx="20">
                  <c:v>1742.1340920251116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FB2-ED4D-9DF2-8C5026473041}"/>
            </c:ext>
          </c:extLst>
        </c:ser>
        <c:ser>
          <c:idx val="3"/>
          <c:order val="1"/>
          <c:tx>
            <c:strRef>
              <c:f>Kenngößen_380kV!$H$26</c:f>
              <c:strCache>
                <c:ptCount val="1"/>
                <c:pt idx="0">
                  <c:v>Wirkleistung Freileitung [MW]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Kenngößen_380kV!$I$24:$AC$24</c:f>
              <c:numCache>
                <c:formatCode>0.000</c:formatCode>
                <c:ptCount val="21"/>
                <c:pt idx="0">
                  <c:v>9.814849049796194E-2</c:v>
                </c:pt>
                <c:pt idx="1">
                  <c:v>0.31853027311471477</c:v>
                </c:pt>
                <c:pt idx="2">
                  <c:v>0.61176976760936641</c:v>
                </c:pt>
                <c:pt idx="3">
                  <c:v>0.90667417310156551</c:v>
                </c:pt>
                <c:pt idx="4">
                  <c:v>1.1985746144491327</c:v>
                </c:pt>
                <c:pt idx="5">
                  <c:v>1.4857912575873735</c:v>
                </c:pt>
                <c:pt idx="6">
                  <c:v>1.7672437266723235</c:v>
                </c:pt>
                <c:pt idx="7">
                  <c:v>2.0420968387511471</c:v>
                </c:pt>
                <c:pt idx="8">
                  <c:v>2.3096736252638235</c:v>
                </c:pt>
                <c:pt idx="9">
                  <c:v>2.5694264469037043</c:v>
                </c:pt>
                <c:pt idx="10">
                  <c:v>2.8209237659622657</c:v>
                </c:pt>
                <c:pt idx="11">
                  <c:v>3.0638411957783327</c:v>
                </c:pt>
                <c:pt idx="12">
                  <c:v>3.2979533312519518</c:v>
                </c:pt>
                <c:pt idx="13">
                  <c:v>3.5231253120180326</c:v>
                </c:pt>
                <c:pt idx="14">
                  <c:v>3.7393039316263668</c:v>
                </c:pt>
                <c:pt idx="15">
                  <c:v>3.9465084219595439</c:v>
                </c:pt>
                <c:pt idx="16">
                  <c:v>4.1448211443109297</c:v>
                </c:pt>
                <c:pt idx="17">
                  <c:v>4.3343784294573968</c:v>
                </c:pt>
                <c:pt idx="18">
                  <c:v>4.5153617800445742</c:v>
                </c:pt>
                <c:pt idx="19">
                  <c:v>4.6879896037532562</c:v>
                </c:pt>
                <c:pt idx="20">
                  <c:v>4.8525095972724532</c:v>
                </c:pt>
              </c:numCache>
            </c:numRef>
          </c:cat>
          <c:val>
            <c:numRef>
              <c:f>Kenngößen_380kV!$I$26:$AC$26</c:f>
              <c:numCache>
                <c:formatCode>0.0</c:formatCode>
                <c:ptCount val="21"/>
                <c:pt idx="0">
                  <c:v>1.0026560053252854E-2</c:v>
                </c:pt>
                <c:pt idx="1">
                  <c:v>201.63065223519391</c:v>
                </c:pt>
                <c:pt idx="2">
                  <c:v>401.00702139083955</c:v>
                </c:pt>
                <c:pt idx="3">
                  <c:v>596.75109202406645</c:v>
                </c:pt>
                <c:pt idx="4">
                  <c:v>787.573685317642</c:v>
                </c:pt>
                <c:pt idx="5">
                  <c:v>972.30995299111862</c:v>
                </c:pt>
                <c:pt idx="6">
                  <c:v>1149.9389408252371</c:v>
                </c:pt>
                <c:pt idx="7">
                  <c:v>1319.5967933372351</c:v>
                </c:pt>
                <c:pt idx="8">
                  <c:v>1480.5835841137316</c:v>
                </c:pt>
                <c:pt idx="9">
                  <c:v>1632.3641448599985</c:v>
                </c:pt>
                <c:pt idx="10">
                  <c:v>1774.563574011192</c:v>
                </c:pt>
                <c:pt idx="11">
                  <c:v>1906.9583168130857</c:v>
                </c:pt>
                <c:pt idx="12">
                  <c:v>2029.4638206938534</c:v>
                </c:pt>
                <c:pt idx="13">
                  <c:v>2142.1197912188463</c:v>
                </c:pt>
                <c:pt idx="14">
                  <c:v>2245.0740212662295</c:v>
                </c:pt>
                <c:pt idx="15">
                  <c:v>2338.56565944677</c:v>
                </c:pt>
                <c:pt idx="16">
                  <c:v>2422.9086439003604</c:v>
                </c:pt>
                <c:pt idx="17">
                  <c:v>2498.475873139254</c:v>
                </c:pt>
                <c:pt idx="18">
                  <c:v>2565.6845317703105</c:v>
                </c:pt>
                <c:pt idx="19">
                  <c:v>2624.9828467756056</c:v>
                </c:pt>
                <c:pt idx="20">
                  <c:v>2676.8384265499049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FB2-ED4D-9DF2-8C5026473041}"/>
            </c:ext>
          </c:extLst>
        </c:ser>
        <c:ser>
          <c:idx val="1"/>
          <c:order val="2"/>
          <c:tx>
            <c:strRef>
              <c:f>Kenngößen_380kV!$H$27</c:f>
              <c:strCache>
                <c:ptCount val="1"/>
                <c:pt idx="0">
                  <c:v>Scheinleistung Freileitung [MVA]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Kenngößen_380kV!$I$24:$AC$24</c:f>
              <c:numCache>
                <c:formatCode>0.000</c:formatCode>
                <c:ptCount val="21"/>
                <c:pt idx="0">
                  <c:v>9.814849049796194E-2</c:v>
                </c:pt>
                <c:pt idx="1">
                  <c:v>0.31853027311471477</c:v>
                </c:pt>
                <c:pt idx="2">
                  <c:v>0.61176976760936641</c:v>
                </c:pt>
                <c:pt idx="3">
                  <c:v>0.90667417310156551</c:v>
                </c:pt>
                <c:pt idx="4">
                  <c:v>1.1985746144491327</c:v>
                </c:pt>
                <c:pt idx="5">
                  <c:v>1.4857912575873735</c:v>
                </c:pt>
                <c:pt idx="6">
                  <c:v>1.7672437266723235</c:v>
                </c:pt>
                <c:pt idx="7">
                  <c:v>2.0420968387511471</c:v>
                </c:pt>
                <c:pt idx="8">
                  <c:v>2.3096736252638235</c:v>
                </c:pt>
                <c:pt idx="9">
                  <c:v>2.5694264469037043</c:v>
                </c:pt>
                <c:pt idx="10">
                  <c:v>2.8209237659622657</c:v>
                </c:pt>
                <c:pt idx="11">
                  <c:v>3.0638411957783327</c:v>
                </c:pt>
                <c:pt idx="12">
                  <c:v>3.2979533312519518</c:v>
                </c:pt>
                <c:pt idx="13">
                  <c:v>3.5231253120180326</c:v>
                </c:pt>
                <c:pt idx="14">
                  <c:v>3.7393039316263668</c:v>
                </c:pt>
                <c:pt idx="15">
                  <c:v>3.9465084219595439</c:v>
                </c:pt>
                <c:pt idx="16">
                  <c:v>4.1448211443109297</c:v>
                </c:pt>
                <c:pt idx="17">
                  <c:v>4.3343784294573968</c:v>
                </c:pt>
                <c:pt idx="18">
                  <c:v>4.5153617800445742</c:v>
                </c:pt>
                <c:pt idx="19">
                  <c:v>4.6879896037532562</c:v>
                </c:pt>
                <c:pt idx="20">
                  <c:v>4.8525095972724532</c:v>
                </c:pt>
              </c:numCache>
            </c:numRef>
          </c:cat>
          <c:val>
            <c:numRef>
              <c:f>Kenngößen_380kV!$I$27:$AC$27</c:f>
              <c:numCache>
                <c:formatCode>0.0</c:formatCode>
                <c:ptCount val="21"/>
                <c:pt idx="0">
                  <c:v>64.599305446891279</c:v>
                </c:pt>
                <c:pt idx="1">
                  <c:v>209.65003437772117</c:v>
                </c:pt>
                <c:pt idx="2">
                  <c:v>402.65420161293042</c:v>
                </c:pt>
                <c:pt idx="3">
                  <c:v>596.75417881451597</c:v>
                </c:pt>
                <c:pt idx="4">
                  <c:v>788.87700897750688</c:v>
                </c:pt>
                <c:pt idx="5">
                  <c:v>977.91706008153551</c:v>
                </c:pt>
                <c:pt idx="6">
                  <c:v>1163.1632511024557</c:v>
                </c:pt>
                <c:pt idx="7">
                  <c:v>1344.0658819032549</c:v>
                </c:pt>
                <c:pt idx="8">
                  <c:v>1520.1793857863222</c:v>
                </c:pt>
                <c:pt idx="9">
                  <c:v>1691.1433178923889</c:v>
                </c:pt>
                <c:pt idx="10">
                  <c:v>1856.6736490315691</c:v>
                </c:pt>
                <c:pt idx="11">
                  <c:v>2016.5568746160493</c:v>
                </c:pt>
                <c:pt idx="12">
                  <c:v>2170.6446376733766</c:v>
                </c:pt>
                <c:pt idx="13">
                  <c:v>2318.8481759019305</c:v>
                </c:pt>
                <c:pt idx="14">
                  <c:v>2461.1324699171919</c:v>
                </c:pt>
                <c:pt idx="15">
                  <c:v>2597.5101777463133</c:v>
                </c:pt>
                <c:pt idx="16">
                  <c:v>2728.0355078882762</c:v>
                </c:pt>
                <c:pt idx="17">
                  <c:v>2852.7981904393068</c:v>
                </c:pt>
                <c:pt idx="18">
                  <c:v>2971.9176866849025</c:v>
                </c:pt>
                <c:pt idx="19">
                  <c:v>3085.5377480410252</c:v>
                </c:pt>
                <c:pt idx="20">
                  <c:v>3193.8214033427621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FB2-ED4D-9DF2-8C5026473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635216"/>
        <c:axId val="491122464"/>
      </c:lineChart>
      <c:catAx>
        <c:axId val="422635216"/>
        <c:scaling>
          <c:orientation val="minMax"/>
        </c:scaling>
        <c:delete val="0"/>
        <c:axPos val="b"/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1122464"/>
        <c:crosses val="autoZero"/>
        <c:auto val="1"/>
        <c:lblAlgn val="ctr"/>
        <c:lblOffset val="100"/>
        <c:noMultiLvlLbl val="0"/>
      </c:catAx>
      <c:valAx>
        <c:axId val="49112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263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Freileitung_380kV!$G$10</c:f>
              <c:strCache>
                <c:ptCount val="1"/>
                <c:pt idx="0">
                  <c:v>|Zi|/RL</c:v>
                </c:pt>
              </c:strCache>
            </c:strRef>
          </c:tx>
          <c:spPr>
            <a:ln w="47520" cap="rnd">
              <a:solidFill>
                <a:srgbClr val="4A7EBB"/>
              </a:solidFill>
            </a:ln>
          </c:spPr>
          <c:marker>
            <c:symbol val="none"/>
          </c:marker>
          <c:cat>
            <c:strRef>
              <c:f>Freileitung_380kV!$B$10:$B$71</c:f>
              <c:strCache>
                <c:ptCount val="62"/>
                <c:pt idx="0">
                  <c:v>Länge [km]</c:v>
                </c:pt>
                <c:pt idx="1">
                  <c:v>0</c:v>
                </c:pt>
                <c:pt idx="2">
                  <c:v>3</c:v>
                </c:pt>
                <c:pt idx="3">
                  <c:v>7</c:v>
                </c:pt>
                <c:pt idx="4">
                  <c:v>10</c:v>
                </c:pt>
                <c:pt idx="5">
                  <c:v>13</c:v>
                </c:pt>
                <c:pt idx="6">
                  <c:v>17</c:v>
                </c:pt>
                <c:pt idx="7">
                  <c:v>20</c:v>
                </c:pt>
                <c:pt idx="8">
                  <c:v>23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37</c:v>
                </c:pt>
                <c:pt idx="13">
                  <c:v>40</c:v>
                </c:pt>
                <c:pt idx="14">
                  <c:v>43</c:v>
                </c:pt>
                <c:pt idx="15">
                  <c:v>47</c:v>
                </c:pt>
                <c:pt idx="16">
                  <c:v>50</c:v>
                </c:pt>
                <c:pt idx="17">
                  <c:v>53</c:v>
                </c:pt>
                <c:pt idx="18">
                  <c:v>57</c:v>
                </c:pt>
                <c:pt idx="19">
                  <c:v>60</c:v>
                </c:pt>
                <c:pt idx="20">
                  <c:v>63</c:v>
                </c:pt>
                <c:pt idx="21">
                  <c:v>67</c:v>
                </c:pt>
                <c:pt idx="22">
                  <c:v>70</c:v>
                </c:pt>
                <c:pt idx="23">
                  <c:v>73</c:v>
                </c:pt>
                <c:pt idx="24">
                  <c:v>77</c:v>
                </c:pt>
                <c:pt idx="25">
                  <c:v>80</c:v>
                </c:pt>
                <c:pt idx="26">
                  <c:v>83</c:v>
                </c:pt>
                <c:pt idx="27">
                  <c:v>87</c:v>
                </c:pt>
                <c:pt idx="28">
                  <c:v>90</c:v>
                </c:pt>
                <c:pt idx="29">
                  <c:v>93</c:v>
                </c:pt>
                <c:pt idx="30">
                  <c:v>97</c:v>
                </c:pt>
                <c:pt idx="31">
                  <c:v>100</c:v>
                </c:pt>
                <c:pt idx="32">
                  <c:v>103</c:v>
                </c:pt>
                <c:pt idx="33">
                  <c:v>107</c:v>
                </c:pt>
                <c:pt idx="34">
                  <c:v>110</c:v>
                </c:pt>
                <c:pt idx="35">
                  <c:v>113</c:v>
                </c:pt>
                <c:pt idx="36">
                  <c:v>117</c:v>
                </c:pt>
                <c:pt idx="37">
                  <c:v>120</c:v>
                </c:pt>
                <c:pt idx="38">
                  <c:v>123</c:v>
                </c:pt>
                <c:pt idx="39">
                  <c:v>127</c:v>
                </c:pt>
                <c:pt idx="40">
                  <c:v>130</c:v>
                </c:pt>
                <c:pt idx="41">
                  <c:v>133</c:v>
                </c:pt>
                <c:pt idx="42">
                  <c:v>137</c:v>
                </c:pt>
                <c:pt idx="43">
                  <c:v>140</c:v>
                </c:pt>
                <c:pt idx="44">
                  <c:v>143</c:v>
                </c:pt>
                <c:pt idx="45">
                  <c:v>147</c:v>
                </c:pt>
                <c:pt idx="46">
                  <c:v>150</c:v>
                </c:pt>
                <c:pt idx="47">
                  <c:v>153</c:v>
                </c:pt>
                <c:pt idx="48">
                  <c:v>157</c:v>
                </c:pt>
                <c:pt idx="49">
                  <c:v>160</c:v>
                </c:pt>
                <c:pt idx="50">
                  <c:v>163</c:v>
                </c:pt>
                <c:pt idx="51">
                  <c:v>167</c:v>
                </c:pt>
                <c:pt idx="52">
                  <c:v>170</c:v>
                </c:pt>
                <c:pt idx="53">
                  <c:v>173</c:v>
                </c:pt>
                <c:pt idx="54">
                  <c:v>177</c:v>
                </c:pt>
                <c:pt idx="55">
                  <c:v>180</c:v>
                </c:pt>
                <c:pt idx="56">
                  <c:v>183</c:v>
                </c:pt>
                <c:pt idx="57">
                  <c:v>187</c:v>
                </c:pt>
                <c:pt idx="58">
                  <c:v>190</c:v>
                </c:pt>
                <c:pt idx="59">
                  <c:v>193</c:v>
                </c:pt>
                <c:pt idx="60">
                  <c:v>197</c:v>
                </c:pt>
                <c:pt idx="61">
                  <c:v>200</c:v>
                </c:pt>
              </c:strCache>
            </c:strRef>
          </c:cat>
          <c:val>
            <c:numRef>
              <c:f>Freileitung_380kV!$G$11:$G$71</c:f>
              <c:numCache>
                <c:formatCode>General</c:formatCode>
                <c:ptCount val="61"/>
                <c:pt idx="0">
                  <c:v>1</c:v>
                </c:pt>
                <c:pt idx="1">
                  <c:v>1.0010981817097167</c:v>
                </c:pt>
                <c:pt idx="2">
                  <c:v>1.0024996938276545</c:v>
                </c:pt>
                <c:pt idx="3">
                  <c:v>1.0042033410679052</c:v>
                </c:pt>
                <c:pt idx="4">
                  <c:v>1.0062076917464677</c:v>
                </c:pt>
                <c:pt idx="5">
                  <c:v>1.0085110840663818</c:v>
                </c:pt>
                <c:pt idx="6">
                  <c:v>1.0111116333417423</c:v>
                </c:pt>
                <c:pt idx="7">
                  <c:v>1.0140072400898126</c:v>
                </c:pt>
                <c:pt idx="8">
                  <c:v>1.0171955989135644</c:v>
                </c:pt>
                <c:pt idx="9">
                  <c:v>1.0206742080913676</c:v>
                </c:pt>
                <c:pt idx="10">
                  <c:v>1.0244403797862922</c:v>
                </c:pt>
                <c:pt idx="11">
                  <c:v>1.0284912507846442</c:v>
                </c:pt>
                <c:pt idx="12">
                  <c:v>1.0328237936717624</c:v>
                </c:pt>
                <c:pt idx="13">
                  <c:v>1.0374348283529311</c:v>
                </c:pt>
                <c:pt idx="14">
                  <c:v>1.0423210338282825</c:v>
                </c:pt>
                <c:pt idx="15">
                  <c:v>1.0474789601326369</c:v>
                </c:pt>
                <c:pt idx="16">
                  <c:v>1.0529050403545273</c:v>
                </c:pt>
                <c:pt idx="17">
                  <c:v>1.0585956026526646</c:v>
                </c:pt>
                <c:pt idx="18">
                  <c:v>1.0645468821929809</c:v>
                </c:pt>
                <c:pt idx="19">
                  <c:v>1.0707550329349165</c:v>
                </c:pt>
                <c:pt idx="20">
                  <c:v>1.0772161392015553</c:v>
                </c:pt>
                <c:pt idx="21">
                  <c:v>1.0839262269745835</c:v>
                </c:pt>
                <c:pt idx="22">
                  <c:v>1.0908812748616017</c:v>
                </c:pt>
                <c:pt idx="23">
                  <c:v>1.0980772246899775</c:v>
                </c:pt>
                <c:pt idx="24">
                  <c:v>1.1055099916880662</c:v>
                </c:pt>
                <c:pt idx="25">
                  <c:v>1.1131754742211781</c:v>
                </c:pt>
                <c:pt idx="26">
                  <c:v>1.1210695630559584</c:v>
                </c:pt>
                <c:pt idx="27">
                  <c:v>1.1291881501329357</c:v>
                </c:pt>
                <c:pt idx="28">
                  <c:v>1.1375271368326858</c:v>
                </c:pt>
                <c:pt idx="29">
                  <c:v>1.1460824417263893</c:v>
                </c:pt>
                <c:pt idx="30">
                  <c:v>1.1548500078064612</c:v>
                </c:pt>
                <c:pt idx="31">
                  <c:v>1.1638258091974196</c:v>
                </c:pt>
                <c:pt idx="32">
                  <c:v>1.1730058573511519</c:v>
                </c:pt>
                <c:pt idx="33">
                  <c:v>1.1823862067343018</c:v>
                </c:pt>
                <c:pt idx="34">
                  <c:v>1.1919629600185935</c:v>
                </c:pt>
                <c:pt idx="35">
                  <c:v>1.2017322727876147</c:v>
                </c:pt>
                <c:pt idx="36">
                  <c:v>1.2116903577757494</c:v>
                </c:pt>
                <c:pt idx="37">
                  <c:v>1.2218334886568882</c:v>
                </c:pt>
                <c:pt idx="38">
                  <c:v>1.2321580034019384</c:v>
                </c:pt>
                <c:pt idx="39">
                  <c:v>1.2426603072253382</c:v>
                </c:pt>
                <c:pt idx="40">
                  <c:v>1.2533368751415452</c:v>
                </c:pt>
                <c:pt idx="41">
                  <c:v>1.2641842541530608</c:v>
                </c:pt>
                <c:pt idx="42">
                  <c:v>1.2751990650917555</c:v>
                </c:pt>
                <c:pt idx="43">
                  <c:v>1.2863780041353563</c:v>
                </c:pt>
                <c:pt idx="44">
                  <c:v>1.2977178440207966</c:v>
                </c:pt>
                <c:pt idx="45">
                  <c:v>1.3092154349757925</c:v>
                </c:pt>
                <c:pt idx="46">
                  <c:v>1.3208677053895981</c:v>
                </c:pt>
                <c:pt idx="47">
                  <c:v>1.3326716622432555</c:v>
                </c:pt>
                <c:pt idx="48">
                  <c:v>1.3446243913190303</c:v>
                </c:pt>
                <c:pt idx="49">
                  <c:v>1.3567230572079028</c:v>
                </c:pt>
                <c:pt idx="50">
                  <c:v>1.3689649031332884</c:v>
                </c:pt>
                <c:pt idx="51">
                  <c:v>1.3813472506081579</c:v>
                </c:pt>
                <c:pt idx="52">
                  <c:v>1.393867498941975</c:v>
                </c:pt>
                <c:pt idx="53">
                  <c:v>1.4065231246128889</c:v>
                </c:pt>
                <c:pt idx="54">
                  <c:v>1.419311680519745</c:v>
                </c:pt>
                <c:pt idx="55">
                  <c:v>1.4322307951275868</c:v>
                </c:pt>
                <c:pt idx="56">
                  <c:v>1.4452781715193985</c:v>
                </c:pt>
                <c:pt idx="57">
                  <c:v>1.458451586366017</c:v>
                </c:pt>
                <c:pt idx="58">
                  <c:v>1.4717488888252301</c:v>
                </c:pt>
                <c:pt idx="59">
                  <c:v>1.4851679993803468</c:v>
                </c:pt>
                <c:pt idx="60">
                  <c:v>1.4987069086276463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B2-5846-A901-BF8B43C429A9}"/>
            </c:ext>
          </c:extLst>
        </c:ser>
        <c:ser>
          <c:idx val="1"/>
          <c:order val="1"/>
          <c:tx>
            <c:strRef>
              <c:f>Freileitung_380kV!$H$10</c:f>
              <c:strCache>
                <c:ptCount val="1"/>
                <c:pt idx="0">
                  <c:v>cosφ</c:v>
                </c:pt>
              </c:strCache>
            </c:strRef>
          </c:tx>
          <c:spPr>
            <a:ln w="47520" cap="rnd">
              <a:solidFill>
                <a:srgbClr val="BE4B48"/>
              </a:solidFill>
            </a:ln>
          </c:spPr>
          <c:marker>
            <c:symbol val="none"/>
          </c:marker>
          <c:cat>
            <c:strRef>
              <c:f>Freileitung_380kV!$B$10:$B$71</c:f>
              <c:strCache>
                <c:ptCount val="62"/>
                <c:pt idx="0">
                  <c:v>Länge [km]</c:v>
                </c:pt>
                <c:pt idx="1">
                  <c:v>0</c:v>
                </c:pt>
                <c:pt idx="2">
                  <c:v>3</c:v>
                </c:pt>
                <c:pt idx="3">
                  <c:v>7</c:v>
                </c:pt>
                <c:pt idx="4">
                  <c:v>10</c:v>
                </c:pt>
                <c:pt idx="5">
                  <c:v>13</c:v>
                </c:pt>
                <c:pt idx="6">
                  <c:v>17</c:v>
                </c:pt>
                <c:pt idx="7">
                  <c:v>20</c:v>
                </c:pt>
                <c:pt idx="8">
                  <c:v>23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37</c:v>
                </c:pt>
                <c:pt idx="13">
                  <c:v>40</c:v>
                </c:pt>
                <c:pt idx="14">
                  <c:v>43</c:v>
                </c:pt>
                <c:pt idx="15">
                  <c:v>47</c:v>
                </c:pt>
                <c:pt idx="16">
                  <c:v>50</c:v>
                </c:pt>
                <c:pt idx="17">
                  <c:v>53</c:v>
                </c:pt>
                <c:pt idx="18">
                  <c:v>57</c:v>
                </c:pt>
                <c:pt idx="19">
                  <c:v>60</c:v>
                </c:pt>
                <c:pt idx="20">
                  <c:v>63</c:v>
                </c:pt>
                <c:pt idx="21">
                  <c:v>67</c:v>
                </c:pt>
                <c:pt idx="22">
                  <c:v>70</c:v>
                </c:pt>
                <c:pt idx="23">
                  <c:v>73</c:v>
                </c:pt>
                <c:pt idx="24">
                  <c:v>77</c:v>
                </c:pt>
                <c:pt idx="25">
                  <c:v>80</c:v>
                </c:pt>
                <c:pt idx="26">
                  <c:v>83</c:v>
                </c:pt>
                <c:pt idx="27">
                  <c:v>87</c:v>
                </c:pt>
                <c:pt idx="28">
                  <c:v>90</c:v>
                </c:pt>
                <c:pt idx="29">
                  <c:v>93</c:v>
                </c:pt>
                <c:pt idx="30">
                  <c:v>97</c:v>
                </c:pt>
                <c:pt idx="31">
                  <c:v>100</c:v>
                </c:pt>
                <c:pt idx="32">
                  <c:v>103</c:v>
                </c:pt>
                <c:pt idx="33">
                  <c:v>107</c:v>
                </c:pt>
                <c:pt idx="34">
                  <c:v>110</c:v>
                </c:pt>
                <c:pt idx="35">
                  <c:v>113</c:v>
                </c:pt>
                <c:pt idx="36">
                  <c:v>117</c:v>
                </c:pt>
                <c:pt idx="37">
                  <c:v>120</c:v>
                </c:pt>
                <c:pt idx="38">
                  <c:v>123</c:v>
                </c:pt>
                <c:pt idx="39">
                  <c:v>127</c:v>
                </c:pt>
                <c:pt idx="40">
                  <c:v>130</c:v>
                </c:pt>
                <c:pt idx="41">
                  <c:v>133</c:v>
                </c:pt>
                <c:pt idx="42">
                  <c:v>137</c:v>
                </c:pt>
                <c:pt idx="43">
                  <c:v>140</c:v>
                </c:pt>
                <c:pt idx="44">
                  <c:v>143</c:v>
                </c:pt>
                <c:pt idx="45">
                  <c:v>147</c:v>
                </c:pt>
                <c:pt idx="46">
                  <c:v>150</c:v>
                </c:pt>
                <c:pt idx="47">
                  <c:v>153</c:v>
                </c:pt>
                <c:pt idx="48">
                  <c:v>157</c:v>
                </c:pt>
                <c:pt idx="49">
                  <c:v>160</c:v>
                </c:pt>
                <c:pt idx="50">
                  <c:v>163</c:v>
                </c:pt>
                <c:pt idx="51">
                  <c:v>167</c:v>
                </c:pt>
                <c:pt idx="52">
                  <c:v>170</c:v>
                </c:pt>
                <c:pt idx="53">
                  <c:v>173</c:v>
                </c:pt>
                <c:pt idx="54">
                  <c:v>177</c:v>
                </c:pt>
                <c:pt idx="55">
                  <c:v>180</c:v>
                </c:pt>
                <c:pt idx="56">
                  <c:v>183</c:v>
                </c:pt>
                <c:pt idx="57">
                  <c:v>187</c:v>
                </c:pt>
                <c:pt idx="58">
                  <c:v>190</c:v>
                </c:pt>
                <c:pt idx="59">
                  <c:v>193</c:v>
                </c:pt>
                <c:pt idx="60">
                  <c:v>197</c:v>
                </c:pt>
                <c:pt idx="61">
                  <c:v>200</c:v>
                </c:pt>
              </c:strCache>
            </c:strRef>
          </c:cat>
          <c:val>
            <c:numRef>
              <c:f>Freileitung_380kV!$H$11:$H$71</c:f>
              <c:numCache>
                <c:formatCode>General</c:formatCode>
                <c:ptCount val="61"/>
                <c:pt idx="0">
                  <c:v>1</c:v>
                </c:pt>
                <c:pt idx="1">
                  <c:v>0.99986010213031518</c:v>
                </c:pt>
                <c:pt idx="2">
                  <c:v>0.9994418951553955</c:v>
                </c:pt>
                <c:pt idx="3">
                  <c:v>0.99874815798331884</c:v>
                </c:pt>
                <c:pt idx="4">
                  <c:v>0.99778238278238696</c:v>
                </c:pt>
                <c:pt idx="5">
                  <c:v>0.99654874762464829</c:v>
                </c:pt>
                <c:pt idx="6">
                  <c:v>0.9950520846684715</c:v>
                </c:pt>
                <c:pt idx="7">
                  <c:v>0.99329784432607715</c:v>
                </c:pt>
                <c:pt idx="8">
                  <c:v>0.99129205590473246</c:v>
                </c:pt>
                <c:pt idx="9">
                  <c:v>0.98904128524254409</c:v>
                </c:pt>
                <c:pt idx="10">
                  <c:v>0.98655258988118066</c:v>
                </c:pt>
                <c:pt idx="11">
                  <c:v>0.9838334723284583</c:v>
                </c:pt>
                <c:pt idx="12">
                  <c:v>0.98089183196387997</c:v>
                </c:pt>
                <c:pt idx="13">
                  <c:v>0.97773591613054278</c:v>
                </c:pt>
                <c:pt idx="14">
                  <c:v>0.97437427093816364</c:v>
                </c:pt>
                <c:pt idx="15">
                  <c:v>0.9708156922753457</c:v>
                </c:pt>
                <c:pt idx="16">
                  <c:v>0.96706917749577292</c:v>
                </c:pt>
                <c:pt idx="17">
                  <c:v>0.96314387820404279</c:v>
                </c:pt>
                <c:pt idx="18">
                  <c:v>0.95904905452358091</c:v>
                </c:pt>
                <c:pt idx="19">
                  <c:v>0.95479403118284234</c:v>
                </c:pt>
                <c:pt idx="20">
                  <c:v>0.9503881557079884</c:v>
                </c:pt>
                <c:pt idx="21">
                  <c:v>0.945840758961634</c:v>
                </c:pt>
                <c:pt idx="22">
                  <c:v>0.94116111821907944</c:v>
                </c:pt>
                <c:pt idx="23">
                  <c:v>0.93635842292666061</c:v>
                </c:pt>
                <c:pt idx="24">
                  <c:v>0.93144174324222229</c:v>
                </c:pt>
                <c:pt idx="25">
                  <c:v>0.92642000141587966</c:v>
                </c:pt>
                <c:pt idx="26">
                  <c:v>0.92130194603071924</c:v>
                </c:pt>
                <c:pt idx="27">
                  <c:v>0.91609612908823912</c:v>
                </c:pt>
                <c:pt idx="28">
                  <c:v>0.91081088589236436</c:v>
                </c:pt>
                <c:pt idx="29">
                  <c:v>0.90545431765894058</c:v>
                </c:pt>
                <c:pt idx="30">
                  <c:v>0.90003427675468184</c:v>
                </c:pt>
                <c:pt idx="31">
                  <c:v>0.89455835445056209</c:v>
                </c:pt>
                <c:pt idx="32">
                  <c:v>0.8890338710594361</c:v>
                </c:pt>
                <c:pt idx="33">
                  <c:v>0.88346786831603608</c:v>
                </c:pt>
                <c:pt idx="34">
                  <c:v>0.87786710384912603</c:v>
                </c:pt>
                <c:pt idx="35">
                  <c:v>0.87223804759029833</c:v>
                </c:pt>
                <c:pt idx="36">
                  <c:v>0.86658687996120976</c:v>
                </c:pt>
                <c:pt idx="37">
                  <c:v>0.86091949168080506</c:v>
                </c:pt>
                <c:pt idx="38">
                  <c:v>0.85524148503586817</c:v>
                </c:pt>
                <c:pt idx="39">
                  <c:v>0.84955817646175003</c:v>
                </c:pt>
                <c:pt idx="40">
                  <c:v>0.84387460028508032</c:v>
                </c:pt>
                <c:pt idx="41">
                  <c:v>0.83819551348643084</c:v>
                </c:pt>
                <c:pt idx="42">
                  <c:v>0.83252540134788422</c:v>
                </c:pt>
                <c:pt idx="43">
                  <c:v>0.82686848385822109</c:v>
                </c:pt>
                <c:pt idx="44">
                  <c:v>0.82122872275654424</c:v>
                </c:pt>
                <c:pt idx="45">
                  <c:v>0.81560982910365787</c:v>
                </c:pt>
                <c:pt idx="46">
                  <c:v>0.81001527127902961</c:v>
                </c:pt>
                <c:pt idx="47">
                  <c:v>0.80444828330976381</c:v>
                </c:pt>
                <c:pt idx="48">
                  <c:v>0.79891187344634951</c:v>
                </c:pt>
                <c:pt idx="49">
                  <c:v>0.7934088329082043</c:v>
                </c:pt>
                <c:pt idx="50">
                  <c:v>0.78794174472987411</c:v>
                </c:pt>
                <c:pt idx="51">
                  <c:v>0.78251299264629925</c:v>
                </c:pt>
                <c:pt idx="52">
                  <c:v>0.77712476996266433</c:v>
                </c:pt>
                <c:pt idx="53">
                  <c:v>0.77177908836108855</c:v>
                </c:pt>
                <c:pt idx="54">
                  <c:v>0.76647778660262267</c:v>
                </c:pt>
                <c:pt idx="55">
                  <c:v>0.76122253908884585</c:v>
                </c:pt>
                <c:pt idx="56">
                  <c:v>0.75601486425270192</c:v>
                </c:pt>
                <c:pt idx="57">
                  <c:v>0.75085613275308638</c:v>
                </c:pt>
                <c:pt idx="58">
                  <c:v>0.74574757545217929</c:v>
                </c:pt>
                <c:pt idx="59">
                  <c:v>0.74069029115854812</c:v>
                </c:pt>
                <c:pt idx="60">
                  <c:v>0.73568525412267416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2-5846-A901-BF8B43C42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163375"/>
        <c:axId val="434161359"/>
      </c:lineChart>
      <c:valAx>
        <c:axId val="434161359"/>
        <c:scaling>
          <c:orientation val="minMax"/>
          <c:max val="1.6"/>
          <c:min val="0"/>
        </c:scaling>
        <c:delete val="0"/>
        <c:axPos val="l"/>
        <c:majorGridlines>
          <c:spPr>
            <a:ln w="9360">
              <a:solidFill>
                <a:srgbClr val="868686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9360">
            <a:solidFill>
              <a:srgbClr val="868686"/>
            </a:solidFill>
          </a:ln>
        </c:spPr>
        <c:txPr>
          <a:bodyPr/>
          <a:lstStyle/>
          <a:p>
            <a:pPr>
              <a:defRPr sz="1200" b="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434163375"/>
        <c:crosses val="autoZero"/>
        <c:crossBetween val="between"/>
      </c:valAx>
      <c:catAx>
        <c:axId val="43416337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360">
            <a:solidFill>
              <a:srgbClr val="868686"/>
            </a:solidFill>
          </a:ln>
        </c:spPr>
        <c:txPr>
          <a:bodyPr/>
          <a:lstStyle/>
          <a:p>
            <a:pPr>
              <a:defRPr sz="1200" b="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434161359"/>
        <c:crossesAt val="0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1400" b="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</c:legendEntry>
      <c:overlay val="0"/>
      <c:spPr>
        <a:noFill/>
        <a:ln>
          <a:noFill/>
        </a:ln>
      </c:spPr>
      <c:txPr>
        <a:bodyPr/>
        <a:lstStyle/>
        <a:p>
          <a:pPr>
            <a:defRPr sz="1000" b="0" baseline="0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0"/>
  </c:chart>
  <c:spPr>
    <a:ln w="9360">
      <a:solidFill>
        <a:srgbClr val="868686"/>
      </a:solidFill>
      <a:prstDash val="solid"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Freileitung_380kV!$D$10</c:f>
              <c:strCache>
                <c:ptCount val="1"/>
                <c:pt idx="0">
                  <c:v>Re {Zi}</c:v>
                </c:pt>
              </c:strCache>
            </c:strRef>
          </c:tx>
          <c:spPr>
            <a:ln w="47520" cap="rnd">
              <a:solidFill>
                <a:srgbClr val="4A7EBB"/>
              </a:solidFill>
            </a:ln>
          </c:spPr>
          <c:marker>
            <c:symbol val="none"/>
          </c:marker>
          <c:cat>
            <c:strRef>
              <c:f>Freileitung_380kV!$B$10:$B$71</c:f>
              <c:strCache>
                <c:ptCount val="62"/>
                <c:pt idx="0">
                  <c:v>Länge [km]</c:v>
                </c:pt>
                <c:pt idx="1">
                  <c:v>0</c:v>
                </c:pt>
                <c:pt idx="2">
                  <c:v>3</c:v>
                </c:pt>
                <c:pt idx="3">
                  <c:v>7</c:v>
                </c:pt>
                <c:pt idx="4">
                  <c:v>10</c:v>
                </c:pt>
                <c:pt idx="5">
                  <c:v>13</c:v>
                </c:pt>
                <c:pt idx="6">
                  <c:v>17</c:v>
                </c:pt>
                <c:pt idx="7">
                  <c:v>20</c:v>
                </c:pt>
                <c:pt idx="8">
                  <c:v>23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37</c:v>
                </c:pt>
                <c:pt idx="13">
                  <c:v>40</c:v>
                </c:pt>
                <c:pt idx="14">
                  <c:v>43</c:v>
                </c:pt>
                <c:pt idx="15">
                  <c:v>47</c:v>
                </c:pt>
                <c:pt idx="16">
                  <c:v>50</c:v>
                </c:pt>
                <c:pt idx="17">
                  <c:v>53</c:v>
                </c:pt>
                <c:pt idx="18">
                  <c:v>57</c:v>
                </c:pt>
                <c:pt idx="19">
                  <c:v>60</c:v>
                </c:pt>
                <c:pt idx="20">
                  <c:v>63</c:v>
                </c:pt>
                <c:pt idx="21">
                  <c:v>67</c:v>
                </c:pt>
                <c:pt idx="22">
                  <c:v>70</c:v>
                </c:pt>
                <c:pt idx="23">
                  <c:v>73</c:v>
                </c:pt>
                <c:pt idx="24">
                  <c:v>77</c:v>
                </c:pt>
                <c:pt idx="25">
                  <c:v>80</c:v>
                </c:pt>
                <c:pt idx="26">
                  <c:v>83</c:v>
                </c:pt>
                <c:pt idx="27">
                  <c:v>87</c:v>
                </c:pt>
                <c:pt idx="28">
                  <c:v>90</c:v>
                </c:pt>
                <c:pt idx="29">
                  <c:v>93</c:v>
                </c:pt>
                <c:pt idx="30">
                  <c:v>97</c:v>
                </c:pt>
                <c:pt idx="31">
                  <c:v>100</c:v>
                </c:pt>
                <c:pt idx="32">
                  <c:v>103</c:v>
                </c:pt>
                <c:pt idx="33">
                  <c:v>107</c:v>
                </c:pt>
                <c:pt idx="34">
                  <c:v>110</c:v>
                </c:pt>
                <c:pt idx="35">
                  <c:v>113</c:v>
                </c:pt>
                <c:pt idx="36">
                  <c:v>117</c:v>
                </c:pt>
                <c:pt idx="37">
                  <c:v>120</c:v>
                </c:pt>
                <c:pt idx="38">
                  <c:v>123</c:v>
                </c:pt>
                <c:pt idx="39">
                  <c:v>127</c:v>
                </c:pt>
                <c:pt idx="40">
                  <c:v>130</c:v>
                </c:pt>
                <c:pt idx="41">
                  <c:v>133</c:v>
                </c:pt>
                <c:pt idx="42">
                  <c:v>137</c:v>
                </c:pt>
                <c:pt idx="43">
                  <c:v>140</c:v>
                </c:pt>
                <c:pt idx="44">
                  <c:v>143</c:v>
                </c:pt>
                <c:pt idx="45">
                  <c:v>147</c:v>
                </c:pt>
                <c:pt idx="46">
                  <c:v>150</c:v>
                </c:pt>
                <c:pt idx="47">
                  <c:v>153</c:v>
                </c:pt>
                <c:pt idx="48">
                  <c:v>157</c:v>
                </c:pt>
                <c:pt idx="49">
                  <c:v>160</c:v>
                </c:pt>
                <c:pt idx="50">
                  <c:v>163</c:v>
                </c:pt>
                <c:pt idx="51">
                  <c:v>167</c:v>
                </c:pt>
                <c:pt idx="52">
                  <c:v>170</c:v>
                </c:pt>
                <c:pt idx="53">
                  <c:v>173</c:v>
                </c:pt>
                <c:pt idx="54">
                  <c:v>177</c:v>
                </c:pt>
                <c:pt idx="55">
                  <c:v>180</c:v>
                </c:pt>
                <c:pt idx="56">
                  <c:v>183</c:v>
                </c:pt>
                <c:pt idx="57">
                  <c:v>187</c:v>
                </c:pt>
                <c:pt idx="58">
                  <c:v>190</c:v>
                </c:pt>
                <c:pt idx="59">
                  <c:v>193</c:v>
                </c:pt>
                <c:pt idx="60">
                  <c:v>197</c:v>
                </c:pt>
                <c:pt idx="61">
                  <c:v>200</c:v>
                </c:pt>
              </c:strCache>
            </c:strRef>
          </c:cat>
          <c:val>
            <c:numRef>
              <c:f>Freileitung_380kV!$D$11:$D$71</c:f>
              <c:numCache>
                <c:formatCode>0.0</c:formatCode>
                <c:ptCount val="61"/>
                <c:pt idx="0" formatCode="General">
                  <c:v>48</c:v>
                </c:pt>
                <c:pt idx="1">
                  <c:v>48.045990249924003</c:v>
                </c:pt>
                <c:pt idx="2">
                  <c:v>48.0931293068071</c:v>
                </c:pt>
                <c:pt idx="3">
                  <c:v>48.141419382348701</c:v>
                </c:pt>
                <c:pt idx="4">
                  <c:v>48.190862795748302</c:v>
                </c:pt>
                <c:pt idx="5">
                  <c:v>48.241461974012601</c:v>
                </c:pt>
                <c:pt idx="6">
                  <c:v>48.293219452283701</c:v>
                </c:pt>
                <c:pt idx="7">
                  <c:v>48.346137874187797</c:v>
                </c:pt>
                <c:pt idx="8">
                  <c:v>48.400219992205102</c:v>
                </c:pt>
                <c:pt idx="9">
                  <c:v>48.455468668060902</c:v>
                </c:pt>
                <c:pt idx="10">
                  <c:v>48.5118868731373</c:v>
                </c:pt>
                <c:pt idx="11">
                  <c:v>48.569477688907</c:v>
                </c:pt>
                <c:pt idx="12">
                  <c:v>48.628244307387803</c:v>
                </c:pt>
                <c:pt idx="13">
                  <c:v>48.688190031618497</c:v>
                </c:pt>
                <c:pt idx="14">
                  <c:v>48.749318276157403</c:v>
                </c:pt>
                <c:pt idx="15">
                  <c:v>48.811632567601201</c:v>
                </c:pt>
                <c:pt idx="16">
                  <c:v>48.875136545126701</c:v>
                </c:pt>
                <c:pt idx="17">
                  <c:v>48.939833961054397</c:v>
                </c:pt>
                <c:pt idx="18">
                  <c:v>49.005728681433801</c:v>
                </c:pt>
                <c:pt idx="19">
                  <c:v>49.072824686651799</c:v>
                </c:pt>
                <c:pt idx="20">
                  <c:v>49.141126072063003</c:v>
                </c:pt>
                <c:pt idx="21">
                  <c:v>49.210637048642901</c:v>
                </c:pt>
                <c:pt idx="22">
                  <c:v>49.281361943664002</c:v>
                </c:pt>
                <c:pt idx="23">
                  <c:v>49.353305201394797</c:v>
                </c:pt>
                <c:pt idx="24">
                  <c:v>49.426471383822097</c:v>
                </c:pt>
                <c:pt idx="25">
                  <c:v>49.500865171397102</c:v>
                </c:pt>
                <c:pt idx="26">
                  <c:v>49.5764913638046</c:v>
                </c:pt>
                <c:pt idx="27">
                  <c:v>49.653354880756403</c:v>
                </c:pt>
                <c:pt idx="28">
                  <c:v>49.731460762808801</c:v>
                </c:pt>
                <c:pt idx="29">
                  <c:v>49.810814172204502</c:v>
                </c:pt>
                <c:pt idx="30">
                  <c:v>49.891420393738898</c:v>
                </c:pt>
                <c:pt idx="31">
                  <c:v>49.973284835651398</c:v>
                </c:pt>
                <c:pt idx="32">
                  <c:v>50.056413030541798</c:v>
                </c:pt>
                <c:pt idx="33">
                  <c:v>50.140810636312203</c:v>
                </c:pt>
                <c:pt idx="34">
                  <c:v>50.226483437133801</c:v>
                </c:pt>
                <c:pt idx="35">
                  <c:v>50.313437344440999</c:v>
                </c:pt>
                <c:pt idx="36">
                  <c:v>50.401678397950498</c:v>
                </c:pt>
                <c:pt idx="37">
                  <c:v>50.491212766707498</c:v>
                </c:pt>
                <c:pt idx="38">
                  <c:v>50.582046750158597</c:v>
                </c:pt>
                <c:pt idx="39">
                  <c:v>50.674186779252302</c:v>
                </c:pt>
                <c:pt idx="40">
                  <c:v>50.767639417565903</c:v>
                </c:pt>
                <c:pt idx="41">
                  <c:v>50.8624113624617</c:v>
                </c:pt>
                <c:pt idx="42">
                  <c:v>50.958509446270099</c:v>
                </c:pt>
                <c:pt idx="43">
                  <c:v>51.055940637502403</c:v>
                </c:pt>
                <c:pt idx="44">
                  <c:v>51.154712042091603</c:v>
                </c:pt>
                <c:pt idx="45">
                  <c:v>51.254830904662903</c:v>
                </c:pt>
                <c:pt idx="46">
                  <c:v>51.356304609833501</c:v>
                </c:pt>
                <c:pt idx="47">
                  <c:v>51.459140683543502</c:v>
                </c:pt>
                <c:pt idx="48">
                  <c:v>51.563346794416503</c:v>
                </c:pt>
                <c:pt idx="49">
                  <c:v>51.668930755150697</c:v>
                </c:pt>
                <c:pt idx="50">
                  <c:v>51.775900523942703</c:v>
                </c:pt>
                <c:pt idx="51">
                  <c:v>51.884264205942102</c:v>
                </c:pt>
                <c:pt idx="52">
                  <c:v>51.994030054738403</c:v>
                </c:pt>
                <c:pt idx="53">
                  <c:v>52.105206473881204</c:v>
                </c:pt>
                <c:pt idx="54">
                  <c:v>52.217802018433098</c:v>
                </c:pt>
                <c:pt idx="55">
                  <c:v>52.331825396556397</c:v>
                </c:pt>
                <c:pt idx="56">
                  <c:v>52.4472854711343</c:v>
                </c:pt>
                <c:pt idx="57">
                  <c:v>52.564191261426799</c:v>
                </c:pt>
                <c:pt idx="58">
                  <c:v>52.682551944761002</c:v>
                </c:pt>
                <c:pt idx="59">
                  <c:v>52.802376858258597</c:v>
                </c:pt>
                <c:pt idx="60">
                  <c:v>52.923675500598598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6C-1248-AC39-B311A5B2369F}"/>
            </c:ext>
          </c:extLst>
        </c:ser>
        <c:ser>
          <c:idx val="1"/>
          <c:order val="1"/>
          <c:tx>
            <c:strRef>
              <c:f>Freileitung_380kV!$E$10</c:f>
              <c:strCache>
                <c:ptCount val="1"/>
                <c:pt idx="0">
                  <c:v>Im{Zi}</c:v>
                </c:pt>
              </c:strCache>
            </c:strRef>
          </c:tx>
          <c:spPr>
            <a:ln w="47520" cap="rnd">
              <a:solidFill>
                <a:srgbClr val="BE4B48"/>
              </a:solidFill>
            </a:ln>
          </c:spPr>
          <c:marker>
            <c:symbol val="none"/>
          </c:marker>
          <c:cat>
            <c:strRef>
              <c:f>Freileitung_380kV!$B$10:$B$71</c:f>
              <c:strCache>
                <c:ptCount val="62"/>
                <c:pt idx="0">
                  <c:v>Länge [km]</c:v>
                </c:pt>
                <c:pt idx="1">
                  <c:v>0</c:v>
                </c:pt>
                <c:pt idx="2">
                  <c:v>3</c:v>
                </c:pt>
                <c:pt idx="3">
                  <c:v>7</c:v>
                </c:pt>
                <c:pt idx="4">
                  <c:v>10</c:v>
                </c:pt>
                <c:pt idx="5">
                  <c:v>13</c:v>
                </c:pt>
                <c:pt idx="6">
                  <c:v>17</c:v>
                </c:pt>
                <c:pt idx="7">
                  <c:v>20</c:v>
                </c:pt>
                <c:pt idx="8">
                  <c:v>23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37</c:v>
                </c:pt>
                <c:pt idx="13">
                  <c:v>40</c:v>
                </c:pt>
                <c:pt idx="14">
                  <c:v>43</c:v>
                </c:pt>
                <c:pt idx="15">
                  <c:v>47</c:v>
                </c:pt>
                <c:pt idx="16">
                  <c:v>50</c:v>
                </c:pt>
                <c:pt idx="17">
                  <c:v>53</c:v>
                </c:pt>
                <c:pt idx="18">
                  <c:v>57</c:v>
                </c:pt>
                <c:pt idx="19">
                  <c:v>60</c:v>
                </c:pt>
                <c:pt idx="20">
                  <c:v>63</c:v>
                </c:pt>
                <c:pt idx="21">
                  <c:v>67</c:v>
                </c:pt>
                <c:pt idx="22">
                  <c:v>70</c:v>
                </c:pt>
                <c:pt idx="23">
                  <c:v>73</c:v>
                </c:pt>
                <c:pt idx="24">
                  <c:v>77</c:v>
                </c:pt>
                <c:pt idx="25">
                  <c:v>80</c:v>
                </c:pt>
                <c:pt idx="26">
                  <c:v>83</c:v>
                </c:pt>
                <c:pt idx="27">
                  <c:v>87</c:v>
                </c:pt>
                <c:pt idx="28">
                  <c:v>90</c:v>
                </c:pt>
                <c:pt idx="29">
                  <c:v>93</c:v>
                </c:pt>
                <c:pt idx="30">
                  <c:v>97</c:v>
                </c:pt>
                <c:pt idx="31">
                  <c:v>100</c:v>
                </c:pt>
                <c:pt idx="32">
                  <c:v>103</c:v>
                </c:pt>
                <c:pt idx="33">
                  <c:v>107</c:v>
                </c:pt>
                <c:pt idx="34">
                  <c:v>110</c:v>
                </c:pt>
                <c:pt idx="35">
                  <c:v>113</c:v>
                </c:pt>
                <c:pt idx="36">
                  <c:v>117</c:v>
                </c:pt>
                <c:pt idx="37">
                  <c:v>120</c:v>
                </c:pt>
                <c:pt idx="38">
                  <c:v>123</c:v>
                </c:pt>
                <c:pt idx="39">
                  <c:v>127</c:v>
                </c:pt>
                <c:pt idx="40">
                  <c:v>130</c:v>
                </c:pt>
                <c:pt idx="41">
                  <c:v>133</c:v>
                </c:pt>
                <c:pt idx="42">
                  <c:v>137</c:v>
                </c:pt>
                <c:pt idx="43">
                  <c:v>140</c:v>
                </c:pt>
                <c:pt idx="44">
                  <c:v>143</c:v>
                </c:pt>
                <c:pt idx="45">
                  <c:v>147</c:v>
                </c:pt>
                <c:pt idx="46">
                  <c:v>150</c:v>
                </c:pt>
                <c:pt idx="47">
                  <c:v>153</c:v>
                </c:pt>
                <c:pt idx="48">
                  <c:v>157</c:v>
                </c:pt>
                <c:pt idx="49">
                  <c:v>160</c:v>
                </c:pt>
                <c:pt idx="50">
                  <c:v>163</c:v>
                </c:pt>
                <c:pt idx="51">
                  <c:v>167</c:v>
                </c:pt>
                <c:pt idx="52">
                  <c:v>170</c:v>
                </c:pt>
                <c:pt idx="53">
                  <c:v>173</c:v>
                </c:pt>
                <c:pt idx="54">
                  <c:v>177</c:v>
                </c:pt>
                <c:pt idx="55">
                  <c:v>180</c:v>
                </c:pt>
                <c:pt idx="56">
                  <c:v>183</c:v>
                </c:pt>
                <c:pt idx="57">
                  <c:v>187</c:v>
                </c:pt>
                <c:pt idx="58">
                  <c:v>190</c:v>
                </c:pt>
                <c:pt idx="59">
                  <c:v>193</c:v>
                </c:pt>
                <c:pt idx="60">
                  <c:v>197</c:v>
                </c:pt>
                <c:pt idx="61">
                  <c:v>200</c:v>
                </c:pt>
              </c:strCache>
            </c:strRef>
          </c:cat>
          <c:val>
            <c:numRef>
              <c:f>Freileitung_380kV!$E$11:$E$71</c:f>
              <c:numCache>
                <c:formatCode>0.0</c:formatCode>
                <c:ptCount val="61"/>
                <c:pt idx="1">
                  <c:v>0.80375422465407798</c:v>
                </c:pt>
                <c:pt idx="2">
                  <c:v>1.60745112201702</c:v>
                </c:pt>
                <c:pt idx="3">
                  <c:v>2.4111081977252899</c:v>
                </c:pt>
                <c:pt idx="4">
                  <c:v>3.2147429470360098</c:v>
                </c:pt>
                <c:pt idx="5">
                  <c:v>4.0183728562139303</c:v>
                </c:pt>
                <c:pt idx="6">
                  <c:v>4.8220154039153096</c:v>
                </c:pt>
                <c:pt idx="7">
                  <c:v>5.62568806256869</c:v>
                </c:pt>
                <c:pt idx="8">
                  <c:v>6.4294082997530904</c:v>
                </c:pt>
                <c:pt idx="9">
                  <c:v>7.2331935795734603</c:v>
                </c:pt>
                <c:pt idx="10">
                  <c:v>8.0370613640338995</c:v>
                </c:pt>
                <c:pt idx="11">
                  <c:v>8.8410291144085793</c:v>
                </c:pt>
                <c:pt idx="12">
                  <c:v>9.6451142926107796</c:v>
                </c:pt>
                <c:pt idx="13">
                  <c:v>10.44933436256</c:v>
                </c:pt>
                <c:pt idx="14">
                  <c:v>11.2537067915477</c:v>
                </c:pt>
                <c:pt idx="15">
                  <c:v>12.0582490516012</c:v>
                </c:pt>
                <c:pt idx="16">
                  <c:v>12.862978620846899</c:v>
                </c:pt>
                <c:pt idx="17">
                  <c:v>13.667912984872</c:v>
                </c:pt>
                <c:pt idx="18">
                  <c:v>14.473069638085599</c:v>
                </c:pt>
                <c:pt idx="19">
                  <c:v>15.278466085078801</c:v>
                </c:pt>
                <c:pt idx="20">
                  <c:v>16.084119841985</c:v>
                </c:pt>
                <c:pt idx="21">
                  <c:v>16.890048437838999</c:v>
                </c:pt>
                <c:pt idx="22">
                  <c:v>17.696269415936499</c:v>
                </c:pt>
                <c:pt idx="23">
                  <c:v>18.5028003351938</c:v>
                </c:pt>
                <c:pt idx="24">
                  <c:v>19.309658771507198</c:v>
                </c:pt>
                <c:pt idx="25">
                  <c:v>20.116862319113</c:v>
                </c:pt>
                <c:pt idx="26">
                  <c:v>20.924428591948399</c:v>
                </c:pt>
                <c:pt idx="27">
                  <c:v>21.7323752250126</c:v>
                </c:pt>
                <c:pt idx="28">
                  <c:v>22.540719875729302</c:v>
                </c:pt>
                <c:pt idx="29">
                  <c:v>23.349480225310099</c:v>
                </c:pt>
                <c:pt idx="30">
                  <c:v>24.158673980119001</c:v>
                </c:pt>
                <c:pt idx="31">
                  <c:v>24.968318873038601</c:v>
                </c:pt>
                <c:pt idx="32">
                  <c:v>25.778432664837901</c:v>
                </c:pt>
                <c:pt idx="33">
                  <c:v>26.589033145541499</c:v>
                </c:pt>
                <c:pt idx="34">
                  <c:v>27.400138135801601</c:v>
                </c:pt>
                <c:pt idx="35">
                  <c:v>28.211765488271102</c:v>
                </c:pt>
                <c:pt idx="36">
                  <c:v>29.023933088979199</c:v>
                </c:pt>
                <c:pt idx="37">
                  <c:v>29.836658858710202</c:v>
                </c:pt>
                <c:pt idx="38">
                  <c:v>30.649960754384299</c:v>
                </c:pt>
                <c:pt idx="39">
                  <c:v>31.463856770440898</c:v>
                </c:pt>
                <c:pt idx="40">
                  <c:v>32.2783649402256</c:v>
                </c:pt>
                <c:pt idx="41">
                  <c:v>33.093503337379403</c:v>
                </c:pt>
                <c:pt idx="42">
                  <c:v>33.909290077232299</c:v>
                </c:pt>
                <c:pt idx="43">
                  <c:v>34.725743318198802</c:v>
                </c:pt>
                <c:pt idx="44">
                  <c:v>35.5428812631786</c:v>
                </c:pt>
                <c:pt idx="45">
                  <c:v>36.360722160959497</c:v>
                </c:pt>
                <c:pt idx="46">
                  <c:v>37.179284307625899</c:v>
                </c:pt>
                <c:pt idx="47">
                  <c:v>37.998586047969297</c:v>
                </c:pt>
                <c:pt idx="48">
                  <c:v>38.818645776905001</c:v>
                </c:pt>
                <c:pt idx="49">
                  <c:v>39.6394819408915</c:v>
                </c:pt>
                <c:pt idx="50">
                  <c:v>40.461113039355702</c:v>
                </c:pt>
                <c:pt idx="51">
                  <c:v>41.2835576261215</c:v>
                </c:pt>
                <c:pt idx="52">
                  <c:v>42.106834310844697</c:v>
                </c:pt>
                <c:pt idx="53">
                  <c:v>42.930961760451403</c:v>
                </c:pt>
                <c:pt idx="54">
                  <c:v>43.755958700582298</c:v>
                </c:pt>
                <c:pt idx="55">
                  <c:v>44.581843917042299</c:v>
                </c:pt>
                <c:pt idx="56">
                  <c:v>45.408636257254798</c:v>
                </c:pt>
                <c:pt idx="57">
                  <c:v>46.236354631722499</c:v>
                </c:pt>
                <c:pt idx="58">
                  <c:v>47.065018015493003</c:v>
                </c:pt>
                <c:pt idx="59">
                  <c:v>47.894645449630801</c:v>
                </c:pt>
                <c:pt idx="60">
                  <c:v>48.725256042694703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C-1248-AC39-B311A5B23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482287"/>
        <c:axId val="484480543"/>
      </c:lineChart>
      <c:valAx>
        <c:axId val="484480543"/>
        <c:scaling>
          <c:orientation val="minMax"/>
        </c:scaling>
        <c:delete val="0"/>
        <c:axPos val="l"/>
        <c:majorGridlines>
          <c:spPr>
            <a:ln w="9360">
              <a:solidFill>
                <a:srgbClr val="868686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9360">
            <a:solidFill>
              <a:srgbClr val="868686"/>
            </a:solidFill>
          </a:ln>
        </c:spPr>
        <c:txPr>
          <a:bodyPr/>
          <a:lstStyle/>
          <a:p>
            <a:pPr>
              <a:defRPr sz="1200" b="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484482287"/>
        <c:crosses val="autoZero"/>
        <c:crossBetween val="between"/>
      </c:valAx>
      <c:catAx>
        <c:axId val="48448228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360">
            <a:solidFill>
              <a:srgbClr val="868686"/>
            </a:solidFill>
          </a:ln>
        </c:spPr>
        <c:txPr>
          <a:bodyPr/>
          <a:lstStyle/>
          <a:p>
            <a:pPr>
              <a:defRPr sz="1200" b="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484480543"/>
        <c:crossesAt val="0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400" b="0" baseline="0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0"/>
  </c:chart>
  <c:spPr>
    <a:ln w="9360">
      <a:solidFill>
        <a:srgbClr val="868686"/>
      </a:solidFill>
      <a:prstDash val="solid"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Kabelstrecke_380kV!$G$10</c:f>
              <c:strCache>
                <c:ptCount val="1"/>
                <c:pt idx="0">
                  <c:v>|Zi|/RL</c:v>
                </c:pt>
              </c:strCache>
            </c:strRef>
          </c:tx>
          <c:spPr>
            <a:ln w="47520" cap="rnd">
              <a:solidFill>
                <a:srgbClr val="4A7EBB"/>
              </a:solidFill>
            </a:ln>
          </c:spPr>
          <c:marker>
            <c:symbol val="none"/>
          </c:marker>
          <c:cat>
            <c:strRef>
              <c:f>Kabelstrecke_380kV!$B$10:$B$71</c:f>
              <c:strCache>
                <c:ptCount val="62"/>
                <c:pt idx="0">
                  <c:v>Länge [km]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23</c:v>
                </c:pt>
                <c:pt idx="16">
                  <c:v>25</c:v>
                </c:pt>
                <c:pt idx="17">
                  <c:v>27</c:v>
                </c:pt>
                <c:pt idx="18">
                  <c:v>28</c:v>
                </c:pt>
                <c:pt idx="19">
                  <c:v>30</c:v>
                </c:pt>
                <c:pt idx="20">
                  <c:v>32</c:v>
                </c:pt>
                <c:pt idx="21">
                  <c:v>33</c:v>
                </c:pt>
                <c:pt idx="22">
                  <c:v>35</c:v>
                </c:pt>
                <c:pt idx="23">
                  <c:v>37</c:v>
                </c:pt>
                <c:pt idx="24">
                  <c:v>38</c:v>
                </c:pt>
                <c:pt idx="25">
                  <c:v>40</c:v>
                </c:pt>
                <c:pt idx="26">
                  <c:v>42</c:v>
                </c:pt>
                <c:pt idx="27">
                  <c:v>43</c:v>
                </c:pt>
                <c:pt idx="28">
                  <c:v>45</c:v>
                </c:pt>
                <c:pt idx="29">
                  <c:v>47</c:v>
                </c:pt>
                <c:pt idx="30">
                  <c:v>48</c:v>
                </c:pt>
                <c:pt idx="31">
                  <c:v>50</c:v>
                </c:pt>
                <c:pt idx="32">
                  <c:v>52</c:v>
                </c:pt>
                <c:pt idx="33">
                  <c:v>53</c:v>
                </c:pt>
                <c:pt idx="34">
                  <c:v>55</c:v>
                </c:pt>
                <c:pt idx="35">
                  <c:v>57</c:v>
                </c:pt>
                <c:pt idx="36">
                  <c:v>58</c:v>
                </c:pt>
                <c:pt idx="37">
                  <c:v>60</c:v>
                </c:pt>
                <c:pt idx="38">
                  <c:v>62</c:v>
                </c:pt>
                <c:pt idx="39">
                  <c:v>63</c:v>
                </c:pt>
                <c:pt idx="40">
                  <c:v>65</c:v>
                </c:pt>
                <c:pt idx="41">
                  <c:v>67</c:v>
                </c:pt>
                <c:pt idx="42">
                  <c:v>68</c:v>
                </c:pt>
                <c:pt idx="43">
                  <c:v>70</c:v>
                </c:pt>
                <c:pt idx="44">
                  <c:v>72</c:v>
                </c:pt>
                <c:pt idx="45">
                  <c:v>73</c:v>
                </c:pt>
                <c:pt idx="46">
                  <c:v>75</c:v>
                </c:pt>
                <c:pt idx="47">
                  <c:v>77</c:v>
                </c:pt>
                <c:pt idx="48">
                  <c:v>78</c:v>
                </c:pt>
                <c:pt idx="49">
                  <c:v>80</c:v>
                </c:pt>
                <c:pt idx="50">
                  <c:v>82</c:v>
                </c:pt>
                <c:pt idx="51">
                  <c:v>83</c:v>
                </c:pt>
                <c:pt idx="52">
                  <c:v>85</c:v>
                </c:pt>
                <c:pt idx="53">
                  <c:v>87</c:v>
                </c:pt>
                <c:pt idx="54">
                  <c:v>88</c:v>
                </c:pt>
                <c:pt idx="55">
                  <c:v>90</c:v>
                </c:pt>
                <c:pt idx="56">
                  <c:v>92</c:v>
                </c:pt>
                <c:pt idx="57">
                  <c:v>93</c:v>
                </c:pt>
                <c:pt idx="58">
                  <c:v>95</c:v>
                </c:pt>
                <c:pt idx="59">
                  <c:v>97</c:v>
                </c:pt>
                <c:pt idx="60">
                  <c:v>98</c:v>
                </c:pt>
                <c:pt idx="61">
                  <c:v>100</c:v>
                </c:pt>
              </c:strCache>
            </c:strRef>
          </c:cat>
          <c:val>
            <c:numRef>
              <c:f>Kabelstrecke_380kV!$G$11:$G$71</c:f>
              <c:numCache>
                <c:formatCode>General</c:formatCode>
                <c:ptCount val="61"/>
                <c:pt idx="0">
                  <c:v>1</c:v>
                </c:pt>
                <c:pt idx="1">
                  <c:v>1.0000111194185779</c:v>
                </c:pt>
                <c:pt idx="2">
                  <c:v>0.99981212147043397</c:v>
                </c:pt>
                <c:pt idx="3">
                  <c:v>0.99940342933592108</c:v>
                </c:pt>
                <c:pt idx="4">
                  <c:v>0.99878581223341767</c:v>
                </c:pt>
                <c:pt idx="5">
                  <c:v>0.99796038175864255</c:v>
                </c:pt>
                <c:pt idx="6">
                  <c:v>0.99692858663782269</c:v>
                </c:pt>
                <c:pt idx="7">
                  <c:v>0.99569220594299068</c:v>
                </c:pt>
                <c:pt idx="8">
                  <c:v>0.99425334083152739</c:v>
                </c:pt>
                <c:pt idx="9">
                  <c:v>0.99261440488457808</c:v>
                </c:pt>
                <c:pt idx="10">
                  <c:v>0.99077811313065478</c:v>
                </c:pt>
                <c:pt idx="11">
                  <c:v>0.98874746985105022</c:v>
                </c:pt>
                <c:pt idx="12">
                  <c:v>0.98652575527259234</c:v>
                </c:pt>
                <c:pt idx="13">
                  <c:v>0.98411651126076638</c:v>
                </c:pt>
                <c:pt idx="14">
                  <c:v>0.98152352613216753</c:v>
                </c:pt>
                <c:pt idx="15">
                  <c:v>0.97875081870954994</c:v>
                </c:pt>
                <c:pt idx="16">
                  <c:v>0.97580262174551302</c:v>
                </c:pt>
                <c:pt idx="17">
                  <c:v>0.97268336484205886</c:v>
                </c:pt>
                <c:pt idx="18">
                  <c:v>0.96939765699299429</c:v>
                </c:pt>
                <c:pt idx="19">
                  <c:v>0.96595026887432955</c:v>
                </c:pt>
                <c:pt idx="20">
                  <c:v>0.96234611500474687</c:v>
                </c:pt>
                <c:pt idx="21">
                  <c:v>0.95859023589401915</c:v>
                </c:pt>
                <c:pt idx="22">
                  <c:v>0.95468778029171186</c:v>
                </c:pt>
                <c:pt idx="23">
                  <c:v>0.95064398764224523</c:v>
                </c:pt>
                <c:pt idx="24">
                  <c:v>0.94646417084521706</c:v>
                </c:pt>
                <c:pt idx="25">
                  <c:v>0.94215369941203209</c:v>
                </c:pt>
                <c:pt idx="26">
                  <c:v>0.93771798310161814</c:v>
                </c:pt>
                <c:pt idx="27">
                  <c:v>0.93316245610932025</c:v>
                </c:pt>
                <c:pt idx="28">
                  <c:v>0.92849256187410756</c:v>
                </c:pt>
                <c:pt idx="29">
                  <c:v>0.92371373856037953</c:v>
                </c:pt>
                <c:pt idx="30">
                  <c:v>0.91883140526162732</c:v>
                </c:pt>
                <c:pt idx="31">
                  <c:v>0.91385094896442121</c:v>
                </c:pt>
                <c:pt idx="32">
                  <c:v>0.90877771230281501</c:v>
                </c:pt>
                <c:pt idx="33">
                  <c:v>0.9036169821249378</c:v>
                </c:pt>
                <c:pt idx="34">
                  <c:v>0.89837397888589055</c:v>
                </c:pt>
                <c:pt idx="35">
                  <c:v>0.89305384687376044</c:v>
                </c:pt>
                <c:pt idx="36">
                  <c:v>0.88766164526882652</c:v>
                </c:pt>
                <c:pt idx="37">
                  <c:v>0.88220234002985853</c:v>
                </c:pt>
                <c:pt idx="38">
                  <c:v>0.87668079659580955</c:v>
                </c:pt>
                <c:pt idx="39">
                  <c:v>0.87110177338619743</c:v>
                </c:pt>
                <c:pt idx="40">
                  <c:v>0.8654699160790652</c:v>
                </c:pt>
                <c:pt idx="41">
                  <c:v>0.85978975264160151</c:v>
                </c:pt>
                <c:pt idx="42">
                  <c:v>0.8540656890852506</c:v>
                </c:pt>
                <c:pt idx="43">
                  <c:v>0.84830200591446892</c:v>
                </c:pt>
                <c:pt idx="44">
                  <c:v>0.84250285523609447</c:v>
                </c:pt>
                <c:pt idx="45">
                  <c:v>0.83667225849467897</c:v>
                </c:pt>
                <c:pt idx="46">
                  <c:v>0.83081410479787665</c:v>
                </c:pt>
                <c:pt idx="47">
                  <c:v>0.82493214979523155</c:v>
                </c:pt>
                <c:pt idx="48">
                  <c:v>0.81903001507332562</c:v>
                </c:pt>
                <c:pt idx="49">
                  <c:v>0.81311118803018179</c:v>
                </c:pt>
                <c:pt idx="50">
                  <c:v>0.80717902219210225</c:v>
                </c:pt>
                <c:pt idx="51">
                  <c:v>0.8012367379366766</c:v>
                </c:pt>
                <c:pt idx="52">
                  <c:v>0.79528742358644722</c:v>
                </c:pt>
                <c:pt idx="53">
                  <c:v>0.78933403683873316</c:v>
                </c:pt>
                <c:pt idx="54">
                  <c:v>0.78337940649825133</c:v>
                </c:pt>
                <c:pt idx="55">
                  <c:v>0.77742623448047654</c:v>
                </c:pt>
                <c:pt idx="56">
                  <c:v>0.77147709805507236</c:v>
                </c:pt>
                <c:pt idx="57">
                  <c:v>0.76553445230022943</c:v>
                </c:pt>
                <c:pt idx="58">
                  <c:v>0.75960063274028577</c:v>
                </c:pt>
                <c:pt idx="59">
                  <c:v>0.75367785814059141</c:v>
                </c:pt>
                <c:pt idx="60">
                  <c:v>0.74776823343517573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B6-AB44-9502-CE008C04E409}"/>
            </c:ext>
          </c:extLst>
        </c:ser>
        <c:ser>
          <c:idx val="1"/>
          <c:order val="1"/>
          <c:tx>
            <c:strRef>
              <c:f>Kabelstrecke_380kV!$H$10</c:f>
              <c:strCache>
                <c:ptCount val="1"/>
                <c:pt idx="0">
                  <c:v>cosφ</c:v>
                </c:pt>
              </c:strCache>
            </c:strRef>
          </c:tx>
          <c:spPr>
            <a:ln w="47520" cap="rnd">
              <a:solidFill>
                <a:srgbClr val="BE4B48"/>
              </a:solidFill>
            </a:ln>
          </c:spPr>
          <c:marker>
            <c:symbol val="none"/>
          </c:marker>
          <c:cat>
            <c:strRef>
              <c:f>Kabelstrecke_380kV!$B$10:$B$71</c:f>
              <c:strCache>
                <c:ptCount val="62"/>
                <c:pt idx="0">
                  <c:v>Länge [km]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23</c:v>
                </c:pt>
                <c:pt idx="16">
                  <c:v>25</c:v>
                </c:pt>
                <c:pt idx="17">
                  <c:v>27</c:v>
                </c:pt>
                <c:pt idx="18">
                  <c:v>28</c:v>
                </c:pt>
                <c:pt idx="19">
                  <c:v>30</c:v>
                </c:pt>
                <c:pt idx="20">
                  <c:v>32</c:v>
                </c:pt>
                <c:pt idx="21">
                  <c:v>33</c:v>
                </c:pt>
                <c:pt idx="22">
                  <c:v>35</c:v>
                </c:pt>
                <c:pt idx="23">
                  <c:v>37</c:v>
                </c:pt>
                <c:pt idx="24">
                  <c:v>38</c:v>
                </c:pt>
                <c:pt idx="25">
                  <c:v>40</c:v>
                </c:pt>
                <c:pt idx="26">
                  <c:v>42</c:v>
                </c:pt>
                <c:pt idx="27">
                  <c:v>43</c:v>
                </c:pt>
                <c:pt idx="28">
                  <c:v>45</c:v>
                </c:pt>
                <c:pt idx="29">
                  <c:v>47</c:v>
                </c:pt>
                <c:pt idx="30">
                  <c:v>48</c:v>
                </c:pt>
                <c:pt idx="31">
                  <c:v>50</c:v>
                </c:pt>
                <c:pt idx="32">
                  <c:v>52</c:v>
                </c:pt>
                <c:pt idx="33">
                  <c:v>53</c:v>
                </c:pt>
                <c:pt idx="34">
                  <c:v>55</c:v>
                </c:pt>
                <c:pt idx="35">
                  <c:v>57</c:v>
                </c:pt>
                <c:pt idx="36">
                  <c:v>58</c:v>
                </c:pt>
                <c:pt idx="37">
                  <c:v>60</c:v>
                </c:pt>
                <c:pt idx="38">
                  <c:v>62</c:v>
                </c:pt>
                <c:pt idx="39">
                  <c:v>63</c:v>
                </c:pt>
                <c:pt idx="40">
                  <c:v>65</c:v>
                </c:pt>
                <c:pt idx="41">
                  <c:v>67</c:v>
                </c:pt>
                <c:pt idx="42">
                  <c:v>68</c:v>
                </c:pt>
                <c:pt idx="43">
                  <c:v>70</c:v>
                </c:pt>
                <c:pt idx="44">
                  <c:v>72</c:v>
                </c:pt>
                <c:pt idx="45">
                  <c:v>73</c:v>
                </c:pt>
                <c:pt idx="46">
                  <c:v>75</c:v>
                </c:pt>
                <c:pt idx="47">
                  <c:v>77</c:v>
                </c:pt>
                <c:pt idx="48">
                  <c:v>78</c:v>
                </c:pt>
                <c:pt idx="49">
                  <c:v>80</c:v>
                </c:pt>
                <c:pt idx="50">
                  <c:v>82</c:v>
                </c:pt>
                <c:pt idx="51">
                  <c:v>83</c:v>
                </c:pt>
                <c:pt idx="52">
                  <c:v>85</c:v>
                </c:pt>
                <c:pt idx="53">
                  <c:v>87</c:v>
                </c:pt>
                <c:pt idx="54">
                  <c:v>88</c:v>
                </c:pt>
                <c:pt idx="55">
                  <c:v>90</c:v>
                </c:pt>
                <c:pt idx="56">
                  <c:v>92</c:v>
                </c:pt>
                <c:pt idx="57">
                  <c:v>93</c:v>
                </c:pt>
                <c:pt idx="58">
                  <c:v>95</c:v>
                </c:pt>
                <c:pt idx="59">
                  <c:v>97</c:v>
                </c:pt>
                <c:pt idx="60">
                  <c:v>98</c:v>
                </c:pt>
                <c:pt idx="61">
                  <c:v>100</c:v>
                </c:pt>
              </c:strCache>
            </c:strRef>
          </c:cat>
          <c:val>
            <c:numRef>
              <c:f>Kabelstrecke_380kV!$H$11:$H$71</c:f>
              <c:numCache>
                <c:formatCode>General</c:formatCode>
                <c:ptCount val="61"/>
                <c:pt idx="0">
                  <c:v>1</c:v>
                </c:pt>
                <c:pt idx="1">
                  <c:v>0.99992776158489738</c:v>
                </c:pt>
                <c:pt idx="2">
                  <c:v>0.99971118322415575</c:v>
                </c:pt>
                <c:pt idx="3">
                  <c:v>0.99935068041689878</c:v>
                </c:pt>
                <c:pt idx="4">
                  <c:v>0.99884694722789047</c:v>
                </c:pt>
                <c:pt idx="5">
                  <c:v>0.99820095310923251</c:v>
                </c:pt>
                <c:pt idx="6">
                  <c:v>0.99741393843056092</c:v>
                </c:pt>
                <c:pt idx="7">
                  <c:v>0.99648740875877906</c:v>
                </c:pt>
                <c:pt idx="8">
                  <c:v>0.99542312793952692</c:v>
                </c:pt>
                <c:pt idx="9">
                  <c:v>0.99422311004297304</c:v>
                </c:pt>
                <c:pt idx="10">
                  <c:v>0.992889610245967</c:v>
                </c:pt>
                <c:pt idx="11">
                  <c:v>0.99142511473099748</c:v>
                </c:pt>
                <c:pt idx="12">
                  <c:v>0.98983232968965151</c:v>
                </c:pt>
                <c:pt idx="13">
                  <c:v>0.98811416952429021</c:v>
                </c:pt>
                <c:pt idx="14">
                  <c:v>0.9862737443463977</c:v>
                </c:pt>
                <c:pt idx="15">
                  <c:v>0.98431434687348829</c:v>
                </c:pt>
                <c:pt idx="16">
                  <c:v>0.98223943882857523</c:v>
                </c:pt>
                <c:pt idx="17">
                  <c:v>0.98005263694703426</c:v>
                </c:pt>
                <c:pt idx="18">
                  <c:v>0.97775769869528328</c:v>
                </c:pt>
                <c:pt idx="19">
                  <c:v>0.97535850780409938</c:v>
                </c:pt>
                <c:pt idx="20">
                  <c:v>0.97285905971670184</c:v>
                </c:pt>
                <c:pt idx="21">
                  <c:v>0.9702634470480368</c:v>
                </c:pt>
                <c:pt idx="22">
                  <c:v>0.96757584514710337</c:v>
                </c:pt>
                <c:pt idx="23">
                  <c:v>0.96480049784880206</c:v>
                </c:pt>
                <c:pt idx="24">
                  <c:v>0.96194170349575747</c:v>
                </c:pt>
                <c:pt idx="25">
                  <c:v>0.95900380130402796</c:v>
                </c:pt>
                <c:pt idx="26">
                  <c:v>0.95599115813965319</c:v>
                </c:pt>
                <c:pt idx="27">
                  <c:v>0.95290815576577281</c:v>
                </c:pt>
                <c:pt idx="28">
                  <c:v>0.94975917861263714</c:v>
                </c:pt>
                <c:pt idx="29">
                  <c:v>0.94654860211540481</c:v>
                </c:pt>
                <c:pt idx="30">
                  <c:v>0.94328078165721518</c:v>
                </c:pt>
                <c:pt idx="31">
                  <c:v>0.93996004214777518</c:v>
                </c:pt>
                <c:pt idx="32">
                  <c:v>0.93659066826068549</c:v>
                </c:pt>
                <c:pt idx="33">
                  <c:v>0.9331768953459979</c:v>
                </c:pt>
                <c:pt idx="34">
                  <c:v>0.92972290102813371</c:v>
                </c:pt>
                <c:pt idx="35">
                  <c:v>0.92623279749333332</c:v>
                </c:pt>
                <c:pt idx="36">
                  <c:v>0.92271062446529351</c:v>
                </c:pt>
                <c:pt idx="37">
                  <c:v>0.91916034286260029</c:v>
                </c:pt>
                <c:pt idx="38">
                  <c:v>0.91558582912702879</c:v>
                </c:pt>
                <c:pt idx="39">
                  <c:v>0.91199087020770275</c:v>
                </c:pt>
                <c:pt idx="40">
                  <c:v>0.90837915918256984</c:v>
                </c:pt>
                <c:pt idx="41">
                  <c:v>0.90475429149556985</c:v>
                </c:pt>
                <c:pt idx="42">
                  <c:v>0.90111976178528774</c:v>
                </c:pt>
                <c:pt idx="43">
                  <c:v>0.89747896127874982</c:v>
                </c:pt>
                <c:pt idx="44">
                  <c:v>0.89383517572232996</c:v>
                </c:pt>
                <c:pt idx="45">
                  <c:v>0.89019158382043562</c:v>
                </c:pt>
                <c:pt idx="46">
                  <c:v>0.88655125615175145</c:v>
                </c:pt>
                <c:pt idx="47">
                  <c:v>0.88291715453224762</c:v>
                </c:pt>
                <c:pt idx="48">
                  <c:v>0.87929213179392685</c:v>
                </c:pt>
                <c:pt idx="49">
                  <c:v>0.87567893194832647</c:v>
                </c:pt>
                <c:pt idx="50">
                  <c:v>0.87208019070409459</c:v>
                </c:pt>
                <c:pt idx="51">
                  <c:v>0.86849843630847046</c:v>
                </c:pt>
                <c:pt idx="52">
                  <c:v>0.8649360906832293</c:v>
                </c:pt>
                <c:pt idx="53">
                  <c:v>0.86139547082650902</c:v>
                </c:pt>
                <c:pt idx="54">
                  <c:v>0.85787879045295645</c:v>
                </c:pt>
                <c:pt idx="55">
                  <c:v>0.85438816184575339</c:v>
                </c:pt>
                <c:pt idx="56">
                  <c:v>0.85092559789528543</c:v>
                </c:pt>
                <c:pt idx="57">
                  <c:v>0.84749301430048263</c:v>
                </c:pt>
                <c:pt idx="58">
                  <c:v>0.844092231910202</c:v>
                </c:pt>
                <c:pt idx="59">
                  <c:v>0.84072497918332623</c:v>
                </c:pt>
                <c:pt idx="60">
                  <c:v>0.83739289474765333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6-AB44-9502-CE008C04E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163375"/>
        <c:axId val="434161359"/>
      </c:lineChart>
      <c:valAx>
        <c:axId val="434161359"/>
        <c:scaling>
          <c:orientation val="minMax"/>
          <c:min val="0"/>
        </c:scaling>
        <c:delete val="0"/>
        <c:axPos val="l"/>
        <c:majorGridlines>
          <c:spPr>
            <a:ln w="9360">
              <a:solidFill>
                <a:srgbClr val="868686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9360">
            <a:solidFill>
              <a:srgbClr val="868686"/>
            </a:solidFill>
          </a:ln>
        </c:spPr>
        <c:txPr>
          <a:bodyPr/>
          <a:lstStyle/>
          <a:p>
            <a:pPr>
              <a:defRPr sz="1200" b="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434163375"/>
        <c:crosses val="autoZero"/>
        <c:crossBetween val="between"/>
      </c:valAx>
      <c:catAx>
        <c:axId val="43416337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360">
            <a:solidFill>
              <a:srgbClr val="868686"/>
            </a:solidFill>
          </a:ln>
        </c:spPr>
        <c:txPr>
          <a:bodyPr/>
          <a:lstStyle/>
          <a:p>
            <a:pPr>
              <a:defRPr sz="1200" b="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434161359"/>
        <c:crossesAt val="0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400" b="0" baseline="0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0"/>
  </c:chart>
  <c:spPr>
    <a:ln w="9360">
      <a:solidFill>
        <a:srgbClr val="868686"/>
      </a:solidFill>
      <a:prstDash val="solid"/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Kabelstrecke_380kV!$D$10</c:f>
              <c:strCache>
                <c:ptCount val="1"/>
                <c:pt idx="0">
                  <c:v>Re {Zi}</c:v>
                </c:pt>
              </c:strCache>
            </c:strRef>
          </c:tx>
          <c:spPr>
            <a:ln w="47520" cap="rnd">
              <a:solidFill>
                <a:srgbClr val="4A7EBB"/>
              </a:solidFill>
            </a:ln>
          </c:spPr>
          <c:marker>
            <c:symbol val="none"/>
          </c:marker>
          <c:cat>
            <c:strRef>
              <c:f>Kabelstrecke_380kV!$B$10:$B$71</c:f>
              <c:strCache>
                <c:ptCount val="62"/>
                <c:pt idx="0">
                  <c:v>Länge [km]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23</c:v>
                </c:pt>
                <c:pt idx="16">
                  <c:v>25</c:v>
                </c:pt>
                <c:pt idx="17">
                  <c:v>27</c:v>
                </c:pt>
                <c:pt idx="18">
                  <c:v>28</c:v>
                </c:pt>
                <c:pt idx="19">
                  <c:v>30</c:v>
                </c:pt>
                <c:pt idx="20">
                  <c:v>32</c:v>
                </c:pt>
                <c:pt idx="21">
                  <c:v>33</c:v>
                </c:pt>
                <c:pt idx="22">
                  <c:v>35</c:v>
                </c:pt>
                <c:pt idx="23">
                  <c:v>37</c:v>
                </c:pt>
                <c:pt idx="24">
                  <c:v>38</c:v>
                </c:pt>
                <c:pt idx="25">
                  <c:v>40</c:v>
                </c:pt>
                <c:pt idx="26">
                  <c:v>42</c:v>
                </c:pt>
                <c:pt idx="27">
                  <c:v>43</c:v>
                </c:pt>
                <c:pt idx="28">
                  <c:v>45</c:v>
                </c:pt>
                <c:pt idx="29">
                  <c:v>47</c:v>
                </c:pt>
                <c:pt idx="30">
                  <c:v>48</c:v>
                </c:pt>
                <c:pt idx="31">
                  <c:v>50</c:v>
                </c:pt>
                <c:pt idx="32">
                  <c:v>52</c:v>
                </c:pt>
                <c:pt idx="33">
                  <c:v>53</c:v>
                </c:pt>
                <c:pt idx="34">
                  <c:v>55</c:v>
                </c:pt>
                <c:pt idx="35">
                  <c:v>57</c:v>
                </c:pt>
                <c:pt idx="36">
                  <c:v>58</c:v>
                </c:pt>
                <c:pt idx="37">
                  <c:v>60</c:v>
                </c:pt>
                <c:pt idx="38">
                  <c:v>62</c:v>
                </c:pt>
                <c:pt idx="39">
                  <c:v>63</c:v>
                </c:pt>
                <c:pt idx="40">
                  <c:v>65</c:v>
                </c:pt>
                <c:pt idx="41">
                  <c:v>67</c:v>
                </c:pt>
                <c:pt idx="42">
                  <c:v>68</c:v>
                </c:pt>
                <c:pt idx="43">
                  <c:v>70</c:v>
                </c:pt>
                <c:pt idx="44">
                  <c:v>72</c:v>
                </c:pt>
                <c:pt idx="45">
                  <c:v>73</c:v>
                </c:pt>
                <c:pt idx="46">
                  <c:v>75</c:v>
                </c:pt>
                <c:pt idx="47">
                  <c:v>77</c:v>
                </c:pt>
                <c:pt idx="48">
                  <c:v>78</c:v>
                </c:pt>
                <c:pt idx="49">
                  <c:v>80</c:v>
                </c:pt>
                <c:pt idx="50">
                  <c:v>82</c:v>
                </c:pt>
                <c:pt idx="51">
                  <c:v>83</c:v>
                </c:pt>
                <c:pt idx="52">
                  <c:v>85</c:v>
                </c:pt>
                <c:pt idx="53">
                  <c:v>87</c:v>
                </c:pt>
                <c:pt idx="54">
                  <c:v>88</c:v>
                </c:pt>
                <c:pt idx="55">
                  <c:v>90</c:v>
                </c:pt>
                <c:pt idx="56">
                  <c:v>92</c:v>
                </c:pt>
                <c:pt idx="57">
                  <c:v>93</c:v>
                </c:pt>
                <c:pt idx="58">
                  <c:v>95</c:v>
                </c:pt>
                <c:pt idx="59">
                  <c:v>97</c:v>
                </c:pt>
                <c:pt idx="60">
                  <c:v>98</c:v>
                </c:pt>
                <c:pt idx="61">
                  <c:v>100</c:v>
                </c:pt>
              </c:strCache>
            </c:strRef>
          </c:cat>
          <c:val>
            <c:numRef>
              <c:f>Kabelstrecke_380kV!$D$11:$D$71</c:f>
              <c:numCache>
                <c:formatCode>0.0</c:formatCode>
                <c:ptCount val="61"/>
                <c:pt idx="0" formatCode="General">
                  <c:v>115</c:v>
                </c:pt>
                <c:pt idx="1">
                  <c:v>114.992971223026</c:v>
                </c:pt>
                <c:pt idx="2">
                  <c:v>114.945186280062</c:v>
                </c:pt>
                <c:pt idx="3">
                  <c:v>114.856767168551</c:v>
                </c:pt>
                <c:pt idx="4">
                  <c:v>114.727928340646</c:v>
                </c:pt>
                <c:pt idx="5">
                  <c:v>114.558975487224</c:v>
                </c:pt>
                <c:pt idx="6">
                  <c:v>114.350303812231</c:v>
                </c:pt>
                <c:pt idx="7">
                  <c:v>114.102395815466</c:v>
                </c:pt>
                <c:pt idx="8">
                  <c:v>113.815818606907</c:v>
                </c:pt>
                <c:pt idx="9">
                  <c:v>113.491220780247</c:v>
                </c:pt>
                <c:pt idx="10">
                  <c:v>113.129328877451</c:v>
                </c:pt>
                <c:pt idx="11">
                  <c:v>112.730943479762</c:v>
                </c:pt>
                <c:pt idx="12">
                  <c:v>112.29693496363601</c:v>
                </c:pt>
                <c:pt idx="13">
                  <c:v>111.828238962551</c:v>
                </c:pt>
                <c:pt idx="14">
                  <c:v>111.325851577482</c:v>
                </c:pt>
                <c:pt idx="15">
                  <c:v>110.79082438004799</c:v>
                </c:pt>
                <c:pt idx="16">
                  <c:v>110.224259252938</c:v>
                </c:pt>
                <c:pt idx="17">
                  <c:v>109.62730311221701</c:v>
                </c:pt>
                <c:pt idx="18">
                  <c:v>109.001142555538</c:v>
                </c:pt>
                <c:pt idx="19">
                  <c:v>108.34699847915699</c:v>
                </c:pt>
                <c:pt idx="20">
                  <c:v>107.666120705037</c:v>
                </c:pt>
                <c:pt idx="21">
                  <c:v>106.959782657289</c:v>
                </c:pt>
                <c:pt idx="22">
                  <c:v>106.229276124747</c:v>
                </c:pt>
                <c:pt idx="23">
                  <c:v>105.47590614373399</c:v>
                </c:pt>
                <c:pt idx="24">
                  <c:v>104.700986032063</c:v>
                </c:pt>
                <c:pt idx="25">
                  <c:v>103.905832602111</c:v>
                </c:pt>
                <c:pt idx="26">
                  <c:v>103.091761577475</c:v>
                </c:pt>
                <c:pt idx="27">
                  <c:v>102.260083234314</c:v>
                </c:pt>
                <c:pt idx="28">
                  <c:v>101.412098285052</c:v>
                </c:pt>
                <c:pt idx="29">
                  <c:v>100.549094018749</c:v>
                </c:pt>
                <c:pt idx="30">
                  <c:v>99.672340709134303</c:v>
                </c:pt>
                <c:pt idx="31">
                  <c:v>98.783088298118898</c:v>
                </c:pt>
                <c:pt idx="32">
                  <c:v>97.882563359602699</c:v>
                </c:pt>
                <c:pt idx="33">
                  <c:v>96.971966345545994</c:v>
                </c:pt>
                <c:pt idx="34">
                  <c:v>96.052469113667399</c:v>
                </c:pt>
                <c:pt idx="35">
                  <c:v>95.125212733737598</c:v>
                </c:pt>
                <c:pt idx="36">
                  <c:v>94.191305567287202</c:v>
                </c:pt>
                <c:pt idx="37">
                  <c:v>93.251821613643799</c:v>
                </c:pt>
                <c:pt idx="38">
                  <c:v>92.307799113555603</c:v>
                </c:pt>
                <c:pt idx="39">
                  <c:v>91.360239400244396</c:v>
                </c:pt>
                <c:pt idx="40">
                  <c:v>90.410105986556701</c:v>
                </c:pt>
                <c:pt idx="41">
                  <c:v>89.458323875936401</c:v>
                </c:pt>
                <c:pt idx="42">
                  <c:v>88.505779084211198</c:v>
                </c:pt>
                <c:pt idx="43">
                  <c:v>87.553318358661699</c:v>
                </c:pt>
                <c:pt idx="44">
                  <c:v>86.601749080499701</c:v>
                </c:pt>
                <c:pt idx="45">
                  <c:v>85.651839336719902</c:v>
                </c:pt>
                <c:pt idx="46">
                  <c:v>84.704318147272303</c:v>
                </c:pt>
                <c:pt idx="47">
                  <c:v>83.7598758336282</c:v>
                </c:pt>
                <c:pt idx="48">
                  <c:v>82.8191645150592</c:v>
                </c:pt>
                <c:pt idx="49">
                  <c:v>81.882798719293007</c:v>
                </c:pt>
                <c:pt idx="50">
                  <c:v>80.951356094647807</c:v>
                </c:pt>
                <c:pt idx="51">
                  <c:v>80.025378211253894</c:v>
                </c:pt>
                <c:pt idx="52">
                  <c:v>79.105371439535901</c:v>
                </c:pt>
                <c:pt idx="53">
                  <c:v>78.191807894740293</c:v>
                </c:pt>
                <c:pt idx="54">
                  <c:v>77.285126436934604</c:v>
                </c:pt>
                <c:pt idx="55">
                  <c:v>76.385733716570599</c:v>
                </c:pt>
                <c:pt idx="56">
                  <c:v>75.494005256378699</c:v>
                </c:pt>
                <c:pt idx="57">
                  <c:v>74.610286561040894</c:v>
                </c:pt>
                <c:pt idx="58">
                  <c:v>73.734894246767198</c:v>
                </c:pt>
                <c:pt idx="59">
                  <c:v>72.868117183560997</c:v>
                </c:pt>
                <c:pt idx="60">
                  <c:v>72.010217643611398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6A-7C49-BA46-74224505FE66}"/>
            </c:ext>
          </c:extLst>
        </c:ser>
        <c:ser>
          <c:idx val="1"/>
          <c:order val="1"/>
          <c:tx>
            <c:strRef>
              <c:f>Kabelstrecke_380kV!$E$10</c:f>
              <c:strCache>
                <c:ptCount val="1"/>
                <c:pt idx="0">
                  <c:v>Im{Zi}</c:v>
                </c:pt>
              </c:strCache>
            </c:strRef>
          </c:tx>
          <c:spPr>
            <a:ln w="47520" cap="rnd">
              <a:solidFill>
                <a:srgbClr val="BE4B48"/>
              </a:solidFill>
            </a:ln>
          </c:spPr>
          <c:marker>
            <c:symbol val="none"/>
          </c:marker>
          <c:cat>
            <c:strRef>
              <c:f>Kabelstrecke_380kV!$B$10:$B$71</c:f>
              <c:strCache>
                <c:ptCount val="62"/>
                <c:pt idx="0">
                  <c:v>Länge [km]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23</c:v>
                </c:pt>
                <c:pt idx="16">
                  <c:v>25</c:v>
                </c:pt>
                <c:pt idx="17">
                  <c:v>27</c:v>
                </c:pt>
                <c:pt idx="18">
                  <c:v>28</c:v>
                </c:pt>
                <c:pt idx="19">
                  <c:v>30</c:v>
                </c:pt>
                <c:pt idx="20">
                  <c:v>32</c:v>
                </c:pt>
                <c:pt idx="21">
                  <c:v>33</c:v>
                </c:pt>
                <c:pt idx="22">
                  <c:v>35</c:v>
                </c:pt>
                <c:pt idx="23">
                  <c:v>37</c:v>
                </c:pt>
                <c:pt idx="24">
                  <c:v>38</c:v>
                </c:pt>
                <c:pt idx="25">
                  <c:v>40</c:v>
                </c:pt>
                <c:pt idx="26">
                  <c:v>42</c:v>
                </c:pt>
                <c:pt idx="27">
                  <c:v>43</c:v>
                </c:pt>
                <c:pt idx="28">
                  <c:v>45</c:v>
                </c:pt>
                <c:pt idx="29">
                  <c:v>47</c:v>
                </c:pt>
                <c:pt idx="30">
                  <c:v>48</c:v>
                </c:pt>
                <c:pt idx="31">
                  <c:v>50</c:v>
                </c:pt>
                <c:pt idx="32">
                  <c:v>52</c:v>
                </c:pt>
                <c:pt idx="33">
                  <c:v>53</c:v>
                </c:pt>
                <c:pt idx="34">
                  <c:v>55</c:v>
                </c:pt>
                <c:pt idx="35">
                  <c:v>57</c:v>
                </c:pt>
                <c:pt idx="36">
                  <c:v>58</c:v>
                </c:pt>
                <c:pt idx="37">
                  <c:v>60</c:v>
                </c:pt>
                <c:pt idx="38">
                  <c:v>62</c:v>
                </c:pt>
                <c:pt idx="39">
                  <c:v>63</c:v>
                </c:pt>
                <c:pt idx="40">
                  <c:v>65</c:v>
                </c:pt>
                <c:pt idx="41">
                  <c:v>67</c:v>
                </c:pt>
                <c:pt idx="42">
                  <c:v>68</c:v>
                </c:pt>
                <c:pt idx="43">
                  <c:v>70</c:v>
                </c:pt>
                <c:pt idx="44">
                  <c:v>72</c:v>
                </c:pt>
                <c:pt idx="45">
                  <c:v>73</c:v>
                </c:pt>
                <c:pt idx="46">
                  <c:v>75</c:v>
                </c:pt>
                <c:pt idx="47">
                  <c:v>77</c:v>
                </c:pt>
                <c:pt idx="48">
                  <c:v>78</c:v>
                </c:pt>
                <c:pt idx="49">
                  <c:v>80</c:v>
                </c:pt>
                <c:pt idx="50">
                  <c:v>82</c:v>
                </c:pt>
                <c:pt idx="51">
                  <c:v>83</c:v>
                </c:pt>
                <c:pt idx="52">
                  <c:v>85</c:v>
                </c:pt>
                <c:pt idx="53">
                  <c:v>87</c:v>
                </c:pt>
                <c:pt idx="54">
                  <c:v>88</c:v>
                </c:pt>
                <c:pt idx="55">
                  <c:v>90</c:v>
                </c:pt>
                <c:pt idx="56">
                  <c:v>92</c:v>
                </c:pt>
                <c:pt idx="57">
                  <c:v>93</c:v>
                </c:pt>
                <c:pt idx="58">
                  <c:v>95</c:v>
                </c:pt>
                <c:pt idx="59">
                  <c:v>97</c:v>
                </c:pt>
                <c:pt idx="60">
                  <c:v>98</c:v>
                </c:pt>
                <c:pt idx="61">
                  <c:v>100</c:v>
                </c:pt>
              </c:strCache>
            </c:strRef>
          </c:cat>
          <c:val>
            <c:numRef>
              <c:f>Kabelstrecke_380kV!$E$11:$E$71</c:f>
              <c:numCache>
                <c:formatCode>0.0</c:formatCode>
                <c:ptCount val="61"/>
                <c:pt idx="1">
                  <c:v>-1.38227332928695</c:v>
                </c:pt>
                <c:pt idx="2">
                  <c:v>-2.76319213146627</c:v>
                </c:pt>
                <c:pt idx="3">
                  <c:v>-4.1410684921102998</c:v>
                </c:pt>
                <c:pt idx="4">
                  <c:v>-5.5142260761869997</c:v>
                </c:pt>
                <c:pt idx="5">
                  <c:v>-6.8810064232420398</c:v>
                </c:pt>
                <c:pt idx="6">
                  <c:v>-8.23977510111329</c:v>
                </c:pt>
                <c:pt idx="7">
                  <c:v>-9.5889276706674398</c:v>
                </c:pt>
                <c:pt idx="8">
                  <c:v>-10.9268954165825</c:v>
                </c:pt>
                <c:pt idx="9">
                  <c:v>-12.252150802306399</c:v>
                </c:pt>
                <c:pt idx="10">
                  <c:v>-13.5632126109331</c:v>
                </c:pt>
                <c:pt idx="11">
                  <c:v>-14.8586507377888</c:v>
                </c:pt>
                <c:pt idx="12">
                  <c:v>-16.137090604926399</c:v>
                </c:pt>
                <c:pt idx="13">
                  <c:v>-17.3972171724104</c:v>
                </c:pt>
                <c:pt idx="14">
                  <c:v>-18.637778526139201</c:v>
                </c:pt>
                <c:pt idx="15">
                  <c:v>-19.857589026928402</c:v>
                </c:pt>
                <c:pt idx="16">
                  <c:v>-21.0555320105608</c:v>
                </c:pt>
                <c:pt idx="17">
                  <c:v>-22.2305620334329</c:v>
                </c:pt>
                <c:pt idx="18">
                  <c:v>-23.381706663204898</c:v>
                </c:pt>
                <c:pt idx="19">
                  <c:v>-24.508067818429801</c:v>
                </c:pt>
                <c:pt idx="20">
                  <c:v>-25.6088226654302</c:v>
                </c:pt>
                <c:pt idx="21">
                  <c:v>-26.683224084658899</c:v>
                </c:pt>
                <c:pt idx="22">
                  <c:v>-27.7306007223786</c:v>
                </c:pt>
                <c:pt idx="23">
                  <c:v>-28.750356646689401</c:v>
                </c:pt>
                <c:pt idx="24">
                  <c:v>-29.7419706297053</c:v>
                </c:pt>
                <c:pt idx="25">
                  <c:v>-30.704995080006899</c:v>
                </c:pt>
                <c:pt idx="26">
                  <c:v>-31.639054651386999</c:v>
                </c:pt>
                <c:pt idx="27">
                  <c:v>-32.5438445553471</c:v>
                </c:pt>
                <c:pt idx="28">
                  <c:v>-33.419128605822699</c:v>
                </c:pt>
                <c:pt idx="29">
                  <c:v>-34.264737025219603</c:v>
                </c:pt>
                <c:pt idx="30">
                  <c:v>-35.080564041066602</c:v>
                </c:pt>
                <c:pt idx="31">
                  <c:v>-35.866565302451399</c:v>
                </c:pt>
                <c:pt idx="32">
                  <c:v>-36.622755144948897</c:v>
                </c:pt>
                <c:pt idx="33">
                  <c:v>-37.349203731998998</c:v>
                </c:pt>
                <c:pt idx="34">
                  <c:v>-38.046034099689898</c:v>
                </c:pt>
                <c:pt idx="35">
                  <c:v>-38.713419130684599</c:v>
                </c:pt>
                <c:pt idx="36">
                  <c:v>-39.351578481630398</c:v>
                </c:pt>
                <c:pt idx="37">
                  <c:v>-39.960775486855802</c:v>
                </c:pt>
                <c:pt idx="38">
                  <c:v>-40.541314059507897</c:v>
                </c:pt>
                <c:pt idx="39">
                  <c:v>-41.093535609567297</c:v>
                </c:pt>
                <c:pt idx="40">
                  <c:v>-41.617815996407899</c:v>
                </c:pt>
                <c:pt idx="41">
                  <c:v>-42.114562531787499</c:v>
                </c:pt>
                <c:pt idx="42">
                  <c:v>-42.584211047379803</c:v>
                </c:pt>
                <c:pt idx="43">
                  <c:v>-43.0272230392126</c:v>
                </c:pt>
                <c:pt idx="44">
                  <c:v>-43.444082899677099</c:v>
                </c:pt>
                <c:pt idx="45">
                  <c:v>-43.835295246144199</c:v>
                </c:pt>
                <c:pt idx="46">
                  <c:v>-44.201382353659902</c:v>
                </c:pt>
                <c:pt idx="47">
                  <c:v>-44.5428816977265</c:v>
                </c:pt>
                <c:pt idx="48">
                  <c:v>-44.860343611799202</c:v>
                </c:pt>
                <c:pt idx="49">
                  <c:v>-45.1543290628519</c:v>
                </c:pt>
                <c:pt idx="50">
                  <c:v>-45.425407547192997</c:v>
                </c:pt>
                <c:pt idx="51">
                  <c:v>-45.674155107647302</c:v>
                </c:pt>
                <c:pt idx="52">
                  <c:v>-45.901152472251503</c:v>
                </c:pt>
                <c:pt idx="53">
                  <c:v>-46.106983313755798</c:v>
                </c:pt>
                <c:pt idx="54">
                  <c:v>-46.292232628460098</c:v>
                </c:pt>
                <c:pt idx="55">
                  <c:v>-46.4574852322501</c:v>
                </c:pt>
                <c:pt idx="56">
                  <c:v>-46.603324371125403</c:v>
                </c:pt>
                <c:pt idx="57">
                  <c:v>-46.7303304430271</c:v>
                </c:pt>
                <c:pt idx="58">
                  <c:v>-46.839079827364102</c:v>
                </c:pt>
                <c:pt idx="59">
                  <c:v>-46.930143818311997</c:v>
                </c:pt>
                <c:pt idx="60">
                  <c:v>-47.004087657691699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6A-7C49-BA46-74224505F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482287"/>
        <c:axId val="484480543"/>
      </c:lineChart>
      <c:valAx>
        <c:axId val="484480543"/>
        <c:scaling>
          <c:orientation val="minMax"/>
        </c:scaling>
        <c:delete val="0"/>
        <c:axPos val="l"/>
        <c:majorGridlines>
          <c:spPr>
            <a:ln w="9360">
              <a:solidFill>
                <a:srgbClr val="868686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9360">
            <a:solidFill>
              <a:srgbClr val="868686"/>
            </a:solidFill>
          </a:ln>
        </c:spPr>
        <c:txPr>
          <a:bodyPr/>
          <a:lstStyle/>
          <a:p>
            <a:pPr>
              <a:defRPr sz="1200" b="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484482287"/>
        <c:crosses val="autoZero"/>
        <c:crossBetween val="between"/>
      </c:valAx>
      <c:catAx>
        <c:axId val="48448228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360">
            <a:solidFill>
              <a:srgbClr val="868686"/>
            </a:solidFill>
          </a:ln>
        </c:spPr>
        <c:txPr>
          <a:bodyPr/>
          <a:lstStyle/>
          <a:p>
            <a:pPr>
              <a:defRPr sz="1200" b="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484480543"/>
        <c:crossesAt val="0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400" b="0" baseline="0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0"/>
  </c:chart>
  <c:spPr>
    <a:ln w="9360">
      <a:solidFill>
        <a:srgbClr val="868686"/>
      </a:solidFill>
      <a:prstDash val="solid"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Blindleistungsbedarf Q(P)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Kenngößen_20kV_110kV!$I$22:$AC$22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Kenngößen_20kV_110kV!$I$30:$AC$30</c:f>
              <c:numCache>
                <c:formatCode>0.0</c:formatCode>
                <c:ptCount val="21"/>
                <c:pt idx="0">
                  <c:v>-19.785089887250418</c:v>
                </c:pt>
                <c:pt idx="1">
                  <c:v>-19.772756899884236</c:v>
                </c:pt>
                <c:pt idx="2">
                  <c:v>-19.749144569866143</c:v>
                </c:pt>
                <c:pt idx="3">
                  <c:v>-19.714275980626919</c:v>
                </c:pt>
                <c:pt idx="4">
                  <c:v>-19.668174309619097</c:v>
                </c:pt>
                <c:pt idx="5">
                  <c:v>-19.610862827475639</c:v>
                </c:pt>
                <c:pt idx="6">
                  <c:v>-19.542364897153348</c:v>
                </c:pt>
                <c:pt idx="7">
                  <c:v>-19.462703973077407</c:v>
                </c:pt>
                <c:pt idx="8">
                  <c:v>-19.371903600286217</c:v>
                </c:pt>
                <c:pt idx="9">
                  <c:v>-19.26998741357562</c:v>
                </c:pt>
                <c:pt idx="10">
                  <c:v>-19.156979136644935</c:v>
                </c:pt>
                <c:pt idx="11">
                  <c:v>-19.032902581242723</c:v>
                </c:pt>
                <c:pt idx="12">
                  <c:v>-18.897781646312662</c:v>
                </c:pt>
                <c:pt idx="13">
                  <c:v>-18.751640317140208</c:v>
                </c:pt>
                <c:pt idx="14">
                  <c:v>-18.594502664501647</c:v>
                </c:pt>
                <c:pt idx="15">
                  <c:v>-18.426392843809957</c:v>
                </c:pt>
                <c:pt idx="16">
                  <c:v>-18.247335094264415</c:v>
                </c:pt>
                <c:pt idx="17">
                  <c:v>-18.057353738000351</c:v>
                </c:pt>
                <c:pt idx="18">
                  <c:v>-17.856473179238364</c:v>
                </c:pt>
                <c:pt idx="19">
                  <c:v>-17.644717903436334</c:v>
                </c:pt>
                <c:pt idx="20">
                  <c:v>-17.422112476439853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56-8846-AC21-C611016A18C2}"/>
            </c:ext>
          </c:extLst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Kenngößen_20kV_110kV!$I$22:$AC$22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Kenngößen_20kV_110kV!$I$26:$AC$26</c:f>
              <c:numCache>
                <c:formatCode>0.0</c:formatCode>
                <c:ptCount val="21"/>
                <c:pt idx="0">
                  <c:v>-0.75472724812008463</c:v>
                </c:pt>
                <c:pt idx="1">
                  <c:v>-0.7448193433865169</c:v>
                </c:pt>
                <c:pt idx="2">
                  <c:v>-0.72483470672255579</c:v>
                </c:pt>
                <c:pt idx="3">
                  <c:v>-0.69515229630549924</c:v>
                </c:pt>
                <c:pt idx="4">
                  <c:v>-0.65613998980723565</c:v>
                </c:pt>
                <c:pt idx="5">
                  <c:v>-0.60815479289426932</c:v>
                </c:pt>
                <c:pt idx="6">
                  <c:v>-0.55154305292507133</c:v>
                </c:pt>
                <c:pt idx="7">
                  <c:v>-0.48664067686260815</c:v>
                </c:pt>
                <c:pt idx="8">
                  <c:v>-0.41377335249683989</c:v>
                </c:pt>
                <c:pt idx="9">
                  <c:v>-0.33325677214661703</c:v>
                </c:pt>
                <c:pt idx="10">
                  <c:v>-0.2453968580804167</c:v>
                </c:pt>
                <c:pt idx="11">
                  <c:v>-0.15048998896151861</c:v>
                </c:pt>
                <c:pt idx="12">
                  <c:v>-4.8823226684940511E-2</c:v>
                </c:pt>
                <c:pt idx="13">
                  <c:v>5.9325456968377058E-2</c:v>
                </c:pt>
                <c:pt idx="14">
                  <c:v>0.17368695438051263</c:v>
                </c:pt>
                <c:pt idx="15">
                  <c:v>0.29400079731814532</c:v>
                </c:pt>
                <c:pt idx="16">
                  <c:v>0.42001493374929277</c:v>
                </c:pt>
                <c:pt idx="17">
                  <c:v>0.55148550663338158</c:v>
                </c:pt>
                <c:pt idx="18">
                  <c:v>0.68817663502216331</c:v>
                </c:pt>
                <c:pt idx="19">
                  <c:v>0.82986019777101694</c:v>
                </c:pt>
                <c:pt idx="20">
                  <c:v>0.97631562012472406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56-8846-AC21-C611016A1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635216"/>
        <c:axId val="491122464"/>
      </c:lineChart>
      <c:catAx>
        <c:axId val="42263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1122464"/>
        <c:crosses val="autoZero"/>
        <c:auto val="1"/>
        <c:lblAlgn val="ctr"/>
        <c:lblOffset val="100"/>
        <c:noMultiLvlLbl val="0"/>
      </c:catAx>
      <c:valAx>
        <c:axId val="49112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263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Leistungsbilanz Leitung 20</a:t>
            </a:r>
            <a:r>
              <a:rPr lang="de-DE" baseline="0"/>
              <a:t> kV</a:t>
            </a:r>
            <a:r>
              <a:rPr lang="de-DE"/>
              <a:t> Q(I), P(I), S(I)</a:t>
            </a:r>
          </a:p>
        </c:rich>
      </c:tx>
      <c:layout>
        <c:manualLayout>
          <c:xMode val="edge"/>
          <c:yMode val="edge"/>
          <c:x val="0.40324224484944432"/>
          <c:y val="8.61855831014563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Kenngößen_20kV_110kV!$H$26</c:f>
              <c:strCache>
                <c:ptCount val="1"/>
                <c:pt idx="0">
                  <c:v>Blindleistung Leitung 1 [MVar]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Kenngößen_20kV_110kV!$I$25:$AC$25</c:f>
              <c:numCache>
                <c:formatCode>0.000</c:formatCode>
                <c:ptCount val="21"/>
                <c:pt idx="0">
                  <c:v>2.1787114202620892E-2</c:v>
                </c:pt>
                <c:pt idx="1">
                  <c:v>3.596084962871314E-2</c:v>
                </c:pt>
                <c:pt idx="2">
                  <c:v>6.0964782221844822E-2</c:v>
                </c:pt>
                <c:pt idx="3">
                  <c:v>8.7665143644222371E-2</c:v>
                </c:pt>
                <c:pt idx="4">
                  <c:v>0.11463107978912759</c:v>
                </c:pt>
                <c:pt idx="5">
                  <c:v>0.14151122575639033</c:v>
                </c:pt>
                <c:pt idx="6">
                  <c:v>0.16818350237054516</c:v>
                </c:pt>
                <c:pt idx="7">
                  <c:v>0.19459653170061569</c:v>
                </c:pt>
                <c:pt idx="8">
                  <c:v>0.22072638401885603</c:v>
                </c:pt>
                <c:pt idx="9">
                  <c:v>0.24656155506025129</c:v>
                </c:pt>
                <c:pt idx="10">
                  <c:v>0.27209681526194079</c:v>
                </c:pt>
                <c:pt idx="11">
                  <c:v>0.29733037208939223</c:v>
                </c:pt>
                <c:pt idx="12">
                  <c:v>0.32226243632154689</c:v>
                </c:pt>
                <c:pt idx="13">
                  <c:v>0.34689444384051749</c:v>
                </c:pt>
                <c:pt idx="14">
                  <c:v>0.37122860793096008</c:v>
                </c:pt>
                <c:pt idx="15">
                  <c:v>0.39526764898849315</c:v>
                </c:pt>
                <c:pt idx="16">
                  <c:v>0.41901462454480504</c:v>
                </c:pt>
                <c:pt idx="17">
                  <c:v>0.44247281857232962</c:v>
                </c:pt>
                <c:pt idx="18">
                  <c:v>0.46564566717021222</c:v>
                </c:pt>
                <c:pt idx="19">
                  <c:v>0.48853670732673704</c:v>
                </c:pt>
                <c:pt idx="20">
                  <c:v>0.51114954075036223</c:v>
                </c:pt>
              </c:numCache>
            </c:numRef>
          </c:cat>
          <c:val>
            <c:numRef>
              <c:f>Kenngößen_20kV_110kV!$I$26:$AC$26</c:f>
              <c:numCache>
                <c:formatCode>0.0</c:formatCode>
                <c:ptCount val="21"/>
                <c:pt idx="0">
                  <c:v>-0.75472724812008463</c:v>
                </c:pt>
                <c:pt idx="1">
                  <c:v>-0.7448193433865169</c:v>
                </c:pt>
                <c:pt idx="2">
                  <c:v>-0.72483470672255579</c:v>
                </c:pt>
                <c:pt idx="3">
                  <c:v>-0.69515229630549924</c:v>
                </c:pt>
                <c:pt idx="4">
                  <c:v>-0.65613998980723565</c:v>
                </c:pt>
                <c:pt idx="5">
                  <c:v>-0.60815479289426932</c:v>
                </c:pt>
                <c:pt idx="6">
                  <c:v>-0.55154305292507133</c:v>
                </c:pt>
                <c:pt idx="7">
                  <c:v>-0.48664067686260815</c:v>
                </c:pt>
                <c:pt idx="8">
                  <c:v>-0.41377335249683989</c:v>
                </c:pt>
                <c:pt idx="9">
                  <c:v>-0.33325677214661703</c:v>
                </c:pt>
                <c:pt idx="10">
                  <c:v>-0.2453968580804167</c:v>
                </c:pt>
                <c:pt idx="11">
                  <c:v>-0.15048998896151861</c:v>
                </c:pt>
                <c:pt idx="12">
                  <c:v>-4.8823226684940511E-2</c:v>
                </c:pt>
                <c:pt idx="13">
                  <c:v>5.9325456968377058E-2</c:v>
                </c:pt>
                <c:pt idx="14">
                  <c:v>0.17368695438051263</c:v>
                </c:pt>
                <c:pt idx="15">
                  <c:v>0.29400079731814532</c:v>
                </c:pt>
                <c:pt idx="16">
                  <c:v>0.42001493374929277</c:v>
                </c:pt>
                <c:pt idx="17">
                  <c:v>0.55148550663338158</c:v>
                </c:pt>
                <c:pt idx="18">
                  <c:v>0.68817663502216331</c:v>
                </c:pt>
                <c:pt idx="19">
                  <c:v>0.82986019777101694</c:v>
                </c:pt>
                <c:pt idx="20">
                  <c:v>0.97631562012472406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F8-9749-ACC7-D728E113F7DC}"/>
            </c:ext>
          </c:extLst>
        </c:ser>
        <c:ser>
          <c:idx val="1"/>
          <c:order val="1"/>
          <c:tx>
            <c:strRef>
              <c:f>Kenngößen_20kV_110kV!$H$27</c:f>
              <c:strCache>
                <c:ptCount val="1"/>
                <c:pt idx="0">
                  <c:v>Wirkleistung Leitung 1 [MW]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Kenngößen_20kV_110kV!$I$25:$AC$25</c:f>
              <c:numCache>
                <c:formatCode>0.000</c:formatCode>
                <c:ptCount val="21"/>
                <c:pt idx="0">
                  <c:v>2.1787114202620892E-2</c:v>
                </c:pt>
                <c:pt idx="1">
                  <c:v>3.596084962871314E-2</c:v>
                </c:pt>
                <c:pt idx="2">
                  <c:v>6.0964782221844822E-2</c:v>
                </c:pt>
                <c:pt idx="3">
                  <c:v>8.7665143644222371E-2</c:v>
                </c:pt>
                <c:pt idx="4">
                  <c:v>0.11463107978912759</c:v>
                </c:pt>
                <c:pt idx="5">
                  <c:v>0.14151122575639033</c:v>
                </c:pt>
                <c:pt idx="6">
                  <c:v>0.16818350237054516</c:v>
                </c:pt>
                <c:pt idx="7">
                  <c:v>0.19459653170061569</c:v>
                </c:pt>
                <c:pt idx="8">
                  <c:v>0.22072638401885603</c:v>
                </c:pt>
                <c:pt idx="9">
                  <c:v>0.24656155506025129</c:v>
                </c:pt>
                <c:pt idx="10">
                  <c:v>0.27209681526194079</c:v>
                </c:pt>
                <c:pt idx="11">
                  <c:v>0.29733037208939223</c:v>
                </c:pt>
                <c:pt idx="12">
                  <c:v>0.32226243632154689</c:v>
                </c:pt>
                <c:pt idx="13">
                  <c:v>0.34689444384051749</c:v>
                </c:pt>
                <c:pt idx="14">
                  <c:v>0.37122860793096008</c:v>
                </c:pt>
                <c:pt idx="15">
                  <c:v>0.39526764898849315</c:v>
                </c:pt>
                <c:pt idx="16">
                  <c:v>0.41901462454480504</c:v>
                </c:pt>
                <c:pt idx="17">
                  <c:v>0.44247281857232962</c:v>
                </c:pt>
                <c:pt idx="18">
                  <c:v>0.46564566717021222</c:v>
                </c:pt>
                <c:pt idx="19">
                  <c:v>0.48853670732673704</c:v>
                </c:pt>
                <c:pt idx="20">
                  <c:v>0.51114954075036223</c:v>
                </c:pt>
              </c:numCache>
            </c:numRef>
          </c:cat>
          <c:val>
            <c:numRef>
              <c:f>Kenngößen_20kV_110kV!$I$27:$AC$27</c:f>
              <c:numCache>
                <c:formatCode>0.0</c:formatCode>
                <c:ptCount val="21"/>
                <c:pt idx="0">
                  <c:v>8.9178402003099342E-4</c:v>
                </c:pt>
                <c:pt idx="1">
                  <c:v>0.99853061692668144</c:v>
                </c:pt>
                <c:pt idx="2">
                  <c:v>1.983597805392713</c:v>
                </c:pt>
                <c:pt idx="3">
                  <c:v>2.9561759381227222</c:v>
                </c:pt>
                <c:pt idx="4">
                  <c:v>3.9163531069250341</c:v>
                </c:pt>
                <c:pt idx="5">
                  <c:v>4.864222462631723</c:v>
                </c:pt>
                <c:pt idx="6">
                  <c:v>5.7998817939952794</c:v>
                </c:pt>
                <c:pt idx="7">
                  <c:v>6.7234331283588418</c:v>
                </c:pt>
                <c:pt idx="8">
                  <c:v>7.6349823533005576</c:v>
                </c:pt>
                <c:pt idx="9">
                  <c:v>8.5346388584575514</c:v>
                </c:pt>
                <c:pt idx="10">
                  <c:v>9.4225151967440812</c:v>
                </c:pt>
                <c:pt idx="11">
                  <c:v>10.298726764187993</c:v>
                </c:pt>
                <c:pt idx="12">
                  <c:v>11.163391497623603</c:v>
                </c:pt>
                <c:pt idx="13">
                  <c:v>12.016629589492297</c:v>
                </c:pt>
                <c:pt idx="14">
                  <c:v>12.858563219018997</c:v>
                </c:pt>
                <c:pt idx="15">
                  <c:v>13.689316299050333</c:v>
                </c:pt>
                <c:pt idx="16">
                  <c:v>14.50901423785697</c:v>
                </c:pt>
                <c:pt idx="17">
                  <c:v>15.31778371522406</c:v>
                </c:pt>
                <c:pt idx="18">
                  <c:v>16.115752472170826</c:v>
                </c:pt>
                <c:pt idx="19">
                  <c:v>16.903049113663943</c:v>
                </c:pt>
                <c:pt idx="20">
                  <c:v>17.679802923705573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F8-9749-ACC7-D728E113F7DC}"/>
            </c:ext>
          </c:extLst>
        </c:ser>
        <c:ser>
          <c:idx val="2"/>
          <c:order val="2"/>
          <c:tx>
            <c:strRef>
              <c:f>Kenngößen_20kV_110kV!$H$28</c:f>
              <c:strCache>
                <c:ptCount val="1"/>
                <c:pt idx="0">
                  <c:v>Scheinleistung Leitung 1 [MVA]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Kenngößen_20kV_110kV!$I$25:$AC$25</c:f>
              <c:numCache>
                <c:formatCode>0.000</c:formatCode>
                <c:ptCount val="21"/>
                <c:pt idx="0">
                  <c:v>2.1787114202620892E-2</c:v>
                </c:pt>
                <c:pt idx="1">
                  <c:v>3.596084962871314E-2</c:v>
                </c:pt>
                <c:pt idx="2">
                  <c:v>6.0964782221844822E-2</c:v>
                </c:pt>
                <c:pt idx="3">
                  <c:v>8.7665143644222371E-2</c:v>
                </c:pt>
                <c:pt idx="4">
                  <c:v>0.11463107978912759</c:v>
                </c:pt>
                <c:pt idx="5">
                  <c:v>0.14151122575639033</c:v>
                </c:pt>
                <c:pt idx="6">
                  <c:v>0.16818350237054516</c:v>
                </c:pt>
                <c:pt idx="7">
                  <c:v>0.19459653170061569</c:v>
                </c:pt>
                <c:pt idx="8">
                  <c:v>0.22072638401885603</c:v>
                </c:pt>
                <c:pt idx="9">
                  <c:v>0.24656155506025129</c:v>
                </c:pt>
                <c:pt idx="10">
                  <c:v>0.27209681526194079</c:v>
                </c:pt>
                <c:pt idx="11">
                  <c:v>0.29733037208939223</c:v>
                </c:pt>
                <c:pt idx="12">
                  <c:v>0.32226243632154689</c:v>
                </c:pt>
                <c:pt idx="13">
                  <c:v>0.34689444384051749</c:v>
                </c:pt>
                <c:pt idx="14">
                  <c:v>0.37122860793096008</c:v>
                </c:pt>
                <c:pt idx="15">
                  <c:v>0.39526764898849315</c:v>
                </c:pt>
                <c:pt idx="16">
                  <c:v>0.41901462454480504</c:v>
                </c:pt>
                <c:pt idx="17">
                  <c:v>0.44247281857232962</c:v>
                </c:pt>
                <c:pt idx="18">
                  <c:v>0.46564566717021222</c:v>
                </c:pt>
                <c:pt idx="19">
                  <c:v>0.48853670732673704</c:v>
                </c:pt>
                <c:pt idx="20">
                  <c:v>0.51114954075036223</c:v>
                </c:pt>
              </c:numCache>
            </c:numRef>
          </c:cat>
          <c:val>
            <c:numRef>
              <c:f>Kenngößen_20kV_110kV!$I$28:$AC$28</c:f>
              <c:numCache>
                <c:formatCode>0.0</c:formatCode>
                <c:ptCount val="21"/>
                <c:pt idx="0">
                  <c:v>0.75472777498489763</c:v>
                </c:pt>
                <c:pt idx="1">
                  <c:v>1.2457203728055108</c:v>
                </c:pt>
                <c:pt idx="2">
                  <c:v>2.1118820056121415</c:v>
                </c:pt>
                <c:pt idx="3">
                  <c:v>3.0368096568923386</c:v>
                </c:pt>
                <c:pt idx="4">
                  <c:v>3.9709370864250175</c:v>
                </c:pt>
                <c:pt idx="5">
                  <c:v>4.9020926570283523</c:v>
                </c:pt>
                <c:pt idx="6">
                  <c:v>5.8260474220132989</c:v>
                </c:pt>
                <c:pt idx="7">
                  <c:v>6.7410215976430798</c:v>
                </c:pt>
                <c:pt idx="8">
                  <c:v>7.6461862338323536</c:v>
                </c:pt>
                <c:pt idx="9">
                  <c:v>8.5411428111509302</c:v>
                </c:pt>
                <c:pt idx="10">
                  <c:v>9.4257101722272836</c:v>
                </c:pt>
                <c:pt idx="11">
                  <c:v>10.299826221843732</c:v>
                </c:pt>
                <c:pt idx="12">
                  <c:v>11.163498261596985</c:v>
                </c:pt>
                <c:pt idx="13">
                  <c:v>12.016776031902497</c:v>
                </c:pt>
                <c:pt idx="14">
                  <c:v>12.85973620318979</c:v>
                </c:pt>
                <c:pt idx="15">
                  <c:v>13.692473012727424</c:v>
                </c:pt>
                <c:pt idx="16">
                  <c:v>14.51509237651999</c:v>
                </c:pt>
                <c:pt idx="17">
                  <c:v>15.327708054709618</c:v>
                </c:pt>
                <c:pt idx="18">
                  <c:v>16.130439077262295</c:v>
                </c:pt>
                <c:pt idx="19">
                  <c:v>16.923407969046306</c:v>
                </c:pt>
                <c:pt idx="20">
                  <c:v>17.706739496902518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F8-9749-ACC7-D728E113F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635216"/>
        <c:axId val="491122464"/>
      </c:lineChart>
      <c:catAx>
        <c:axId val="422635216"/>
        <c:scaling>
          <c:orientation val="minMax"/>
        </c:scaling>
        <c:delete val="0"/>
        <c:axPos val="b"/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1122464"/>
        <c:crosses val="autoZero"/>
        <c:auto val="1"/>
        <c:lblAlgn val="ctr"/>
        <c:lblOffset val="100"/>
        <c:noMultiLvlLbl val="0"/>
      </c:catAx>
      <c:valAx>
        <c:axId val="49112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263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Leistungsbilanz Leitung 110</a:t>
            </a:r>
            <a:r>
              <a:rPr lang="de-DE" baseline="0"/>
              <a:t> kV</a:t>
            </a:r>
            <a:r>
              <a:rPr lang="de-DE"/>
              <a:t> Q(I), P(I), S(I)</a:t>
            </a:r>
          </a:p>
        </c:rich>
      </c:tx>
      <c:layout>
        <c:manualLayout>
          <c:xMode val="edge"/>
          <c:yMode val="edge"/>
          <c:x val="0.40324224484944432"/>
          <c:y val="8.61855831014563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Kenngößen_20kV_110kV!$H$30</c:f>
              <c:strCache>
                <c:ptCount val="1"/>
                <c:pt idx="0">
                  <c:v>Blindleistung Leitung 2 [Mvar]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Kenngößen_20kV_110kV!$I$29:$AC$29</c:f>
              <c:numCache>
                <c:formatCode>0.000</c:formatCode>
                <c:ptCount val="21"/>
                <c:pt idx="0">
                  <c:v>0.1038447954264019</c:v>
                </c:pt>
                <c:pt idx="1">
                  <c:v>0.10775452887669566</c:v>
                </c:pt>
                <c:pt idx="2">
                  <c:v>0.11875015892861376</c:v>
                </c:pt>
                <c:pt idx="3">
                  <c:v>0.1351000732379431</c:v>
                </c:pt>
                <c:pt idx="4">
                  <c:v>0.15510936861845245</c:v>
                </c:pt>
                <c:pt idx="5">
                  <c:v>0.1775354469646992</c:v>
                </c:pt>
                <c:pt idx="6">
                  <c:v>0.20156474789339227</c:v>
                </c:pt>
                <c:pt idx="7">
                  <c:v>0.22668039711542798</c:v>
                </c:pt>
                <c:pt idx="8">
                  <c:v>0.2525516467719065</c:v>
                </c:pt>
                <c:pt idx="9">
                  <c:v>0.27896212058203484</c:v>
                </c:pt>
                <c:pt idx="10">
                  <c:v>0.30576641767605839</c:v>
                </c:pt>
                <c:pt idx="11">
                  <c:v>0.33286414962438554</c:v>
                </c:pt>
                <c:pt idx="12">
                  <c:v>0.36018421267982287</c:v>
                </c:pt>
                <c:pt idx="13">
                  <c:v>0.38767505319088003</c:v>
                </c:pt>
                <c:pt idx="14">
                  <c:v>0.41529849349546172</c:v>
                </c:pt>
                <c:pt idx="15">
                  <c:v>0.44302571849553268</c:v>
                </c:pt>
                <c:pt idx="16">
                  <c:v>0.47083460453075199</c:v>
                </c:pt>
                <c:pt idx="17">
                  <c:v>0.49870790196838788</c:v>
                </c:pt>
                <c:pt idx="18">
                  <c:v>0.52663197317565102</c:v>
                </c:pt>
                <c:pt idx="19">
                  <c:v>0.55459589956644917</c:v>
                </c:pt>
                <c:pt idx="20">
                  <c:v>0.5825908388253731</c:v>
                </c:pt>
              </c:numCache>
            </c:numRef>
          </c:cat>
          <c:val>
            <c:numRef>
              <c:f>Kenngößen_20kV_110kV!$I$30:$AC$30</c:f>
              <c:numCache>
                <c:formatCode>0.0</c:formatCode>
                <c:ptCount val="21"/>
                <c:pt idx="0">
                  <c:v>-19.785089887250418</c:v>
                </c:pt>
                <c:pt idx="1">
                  <c:v>-19.772756899884236</c:v>
                </c:pt>
                <c:pt idx="2">
                  <c:v>-19.749144569866143</c:v>
                </c:pt>
                <c:pt idx="3">
                  <c:v>-19.714275980626919</c:v>
                </c:pt>
                <c:pt idx="4">
                  <c:v>-19.668174309619097</c:v>
                </c:pt>
                <c:pt idx="5">
                  <c:v>-19.610862827475639</c:v>
                </c:pt>
                <c:pt idx="6">
                  <c:v>-19.542364897153348</c:v>
                </c:pt>
                <c:pt idx="7">
                  <c:v>-19.462703973077407</c:v>
                </c:pt>
                <c:pt idx="8">
                  <c:v>-19.371903600286217</c:v>
                </c:pt>
                <c:pt idx="9">
                  <c:v>-19.26998741357562</c:v>
                </c:pt>
                <c:pt idx="10">
                  <c:v>-19.156979136644935</c:v>
                </c:pt>
                <c:pt idx="11">
                  <c:v>-19.032902581242723</c:v>
                </c:pt>
                <c:pt idx="12">
                  <c:v>-18.897781646312662</c:v>
                </c:pt>
                <c:pt idx="13">
                  <c:v>-18.751640317140208</c:v>
                </c:pt>
                <c:pt idx="14">
                  <c:v>-18.594502664501647</c:v>
                </c:pt>
                <c:pt idx="15">
                  <c:v>-18.426392843809957</c:v>
                </c:pt>
                <c:pt idx="16">
                  <c:v>-18.247335094264415</c:v>
                </c:pt>
                <c:pt idx="17">
                  <c:v>-18.057353738000351</c:v>
                </c:pt>
                <c:pt idx="18">
                  <c:v>-17.856473179238364</c:v>
                </c:pt>
                <c:pt idx="19">
                  <c:v>-17.644717903436334</c:v>
                </c:pt>
                <c:pt idx="20">
                  <c:v>-17.422112476439853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B4-D34D-8736-06E2D232E27F}"/>
            </c:ext>
          </c:extLst>
        </c:ser>
        <c:ser>
          <c:idx val="1"/>
          <c:order val="1"/>
          <c:tx>
            <c:strRef>
              <c:f>Kenngößen_20kV_110kV!$H$27</c:f>
              <c:strCache>
                <c:ptCount val="1"/>
                <c:pt idx="0">
                  <c:v>Wirkleistung Leitung 1 [MW]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Kenngößen_20kV_110kV!$I$29:$AC$29</c:f>
              <c:numCache>
                <c:formatCode>0.000</c:formatCode>
                <c:ptCount val="21"/>
                <c:pt idx="0">
                  <c:v>0.1038447954264019</c:v>
                </c:pt>
                <c:pt idx="1">
                  <c:v>0.10775452887669566</c:v>
                </c:pt>
                <c:pt idx="2">
                  <c:v>0.11875015892861376</c:v>
                </c:pt>
                <c:pt idx="3">
                  <c:v>0.1351000732379431</c:v>
                </c:pt>
                <c:pt idx="4">
                  <c:v>0.15510936861845245</c:v>
                </c:pt>
                <c:pt idx="5">
                  <c:v>0.1775354469646992</c:v>
                </c:pt>
                <c:pt idx="6">
                  <c:v>0.20156474789339227</c:v>
                </c:pt>
                <c:pt idx="7">
                  <c:v>0.22668039711542798</c:v>
                </c:pt>
                <c:pt idx="8">
                  <c:v>0.2525516467719065</c:v>
                </c:pt>
                <c:pt idx="9">
                  <c:v>0.27896212058203484</c:v>
                </c:pt>
                <c:pt idx="10">
                  <c:v>0.30576641767605839</c:v>
                </c:pt>
                <c:pt idx="11">
                  <c:v>0.33286414962438554</c:v>
                </c:pt>
                <c:pt idx="12">
                  <c:v>0.36018421267982287</c:v>
                </c:pt>
                <c:pt idx="13">
                  <c:v>0.38767505319088003</c:v>
                </c:pt>
                <c:pt idx="14">
                  <c:v>0.41529849349546172</c:v>
                </c:pt>
                <c:pt idx="15">
                  <c:v>0.44302571849553268</c:v>
                </c:pt>
                <c:pt idx="16">
                  <c:v>0.47083460453075199</c:v>
                </c:pt>
                <c:pt idx="17">
                  <c:v>0.49870790196838788</c:v>
                </c:pt>
                <c:pt idx="18">
                  <c:v>0.52663197317565102</c:v>
                </c:pt>
                <c:pt idx="19">
                  <c:v>0.55459589956644917</c:v>
                </c:pt>
                <c:pt idx="20">
                  <c:v>0.5825908388253731</c:v>
                </c:pt>
              </c:numCache>
            </c:numRef>
          </c:cat>
          <c:val>
            <c:numRef>
              <c:f>Kenngößen_20kV_110kV!$I$31:$AC$31</c:f>
              <c:numCache>
                <c:formatCode>0.0</c:formatCode>
                <c:ptCount val="21"/>
                <c:pt idx="0">
                  <c:v>5.9959996708887648E-3</c:v>
                </c:pt>
                <c:pt idx="1">
                  <c:v>5.5243806793072245</c:v>
                </c:pt>
                <c:pt idx="2">
                  <c:v>11.0389935081399</c:v>
                </c:pt>
                <c:pt idx="3">
                  <c:v>16.549803741937822</c:v>
                </c:pt>
                <c:pt idx="4">
                  <c:v>22.056780784877539</c:v>
                </c:pt>
                <c:pt idx="5">
                  <c:v>27.559894177645525</c:v>
                </c:pt>
                <c:pt idx="6">
                  <c:v>33.059113597679392</c:v>
                </c:pt>
                <c:pt idx="7">
                  <c:v>38.554408859402479</c:v>
                </c:pt>
                <c:pt idx="8">
                  <c:v>44.045749914454213</c:v>
                </c:pt>
                <c:pt idx="9">
                  <c:v>49.533106851913224</c:v>
                </c:pt>
                <c:pt idx="10">
                  <c:v>55.01644989851561</c:v>
                </c:pt>
                <c:pt idx="11">
                  <c:v>60.495749418867646</c:v>
                </c:pt>
                <c:pt idx="12">
                  <c:v>65.970975915652801</c:v>
                </c:pt>
                <c:pt idx="13">
                  <c:v>71.442100029831323</c:v>
                </c:pt>
                <c:pt idx="14">
                  <c:v>76.909092540838913</c:v>
                </c:pt>
                <c:pt idx="15">
                  <c:v>82.371924366773911</c:v>
                </c:pt>
                <c:pt idx="16">
                  <c:v>87.830566564581517</c:v>
                </c:pt>
                <c:pt idx="17">
                  <c:v>93.284990330235019</c:v>
                </c:pt>
                <c:pt idx="18">
                  <c:v>98.73516699890709</c:v>
                </c:pt>
                <c:pt idx="19">
                  <c:v>104.18106804513965</c:v>
                </c:pt>
                <c:pt idx="20">
                  <c:v>109.62266508300333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B4-D34D-8736-06E2D232E27F}"/>
            </c:ext>
          </c:extLst>
        </c:ser>
        <c:ser>
          <c:idx val="2"/>
          <c:order val="2"/>
          <c:tx>
            <c:strRef>
              <c:f>Kenngößen_20kV_110kV!$H$28</c:f>
              <c:strCache>
                <c:ptCount val="1"/>
                <c:pt idx="0">
                  <c:v>Scheinleistung Leitung 1 [MVA]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Kenngößen_20kV_110kV!$I$29:$AC$29</c:f>
              <c:numCache>
                <c:formatCode>0.000</c:formatCode>
                <c:ptCount val="21"/>
                <c:pt idx="0">
                  <c:v>0.1038447954264019</c:v>
                </c:pt>
                <c:pt idx="1">
                  <c:v>0.10775452887669566</c:v>
                </c:pt>
                <c:pt idx="2">
                  <c:v>0.11875015892861376</c:v>
                </c:pt>
                <c:pt idx="3">
                  <c:v>0.1351000732379431</c:v>
                </c:pt>
                <c:pt idx="4">
                  <c:v>0.15510936861845245</c:v>
                </c:pt>
                <c:pt idx="5">
                  <c:v>0.1775354469646992</c:v>
                </c:pt>
                <c:pt idx="6">
                  <c:v>0.20156474789339227</c:v>
                </c:pt>
                <c:pt idx="7">
                  <c:v>0.22668039711542798</c:v>
                </c:pt>
                <c:pt idx="8">
                  <c:v>0.2525516467719065</c:v>
                </c:pt>
                <c:pt idx="9">
                  <c:v>0.27896212058203484</c:v>
                </c:pt>
                <c:pt idx="10">
                  <c:v>0.30576641767605839</c:v>
                </c:pt>
                <c:pt idx="11">
                  <c:v>0.33286414962438554</c:v>
                </c:pt>
                <c:pt idx="12">
                  <c:v>0.36018421267982287</c:v>
                </c:pt>
                <c:pt idx="13">
                  <c:v>0.38767505319088003</c:v>
                </c:pt>
                <c:pt idx="14">
                  <c:v>0.41529849349546172</c:v>
                </c:pt>
                <c:pt idx="15">
                  <c:v>0.44302571849553268</c:v>
                </c:pt>
                <c:pt idx="16">
                  <c:v>0.47083460453075199</c:v>
                </c:pt>
                <c:pt idx="17">
                  <c:v>0.49870790196838788</c:v>
                </c:pt>
                <c:pt idx="18">
                  <c:v>0.52663197317565102</c:v>
                </c:pt>
                <c:pt idx="19">
                  <c:v>0.55459589956644917</c:v>
                </c:pt>
                <c:pt idx="20">
                  <c:v>0.5825908388253731</c:v>
                </c:pt>
              </c:numCache>
            </c:numRef>
          </c:cat>
          <c:val>
            <c:numRef>
              <c:f>Kenngößen_20kV_110kV!$I$32:$AC$32</c:f>
              <c:numCache>
                <c:formatCode>0.0</c:formatCode>
                <c:ptCount val="21"/>
                <c:pt idx="0">
                  <c:v>19.785090795813673</c:v>
                </c:pt>
                <c:pt idx="1">
                  <c:v>20.529995063609309</c:v>
                </c:pt>
                <c:pt idx="2">
                  <c:v>22.624943953836176</c:v>
                </c:pt>
                <c:pt idx="3">
                  <c:v>25.740021004983319</c:v>
                </c:pt>
                <c:pt idx="4">
                  <c:v>29.552303789479826</c:v>
                </c:pt>
                <c:pt idx="5">
                  <c:v>33.825045571603972</c:v>
                </c:pt>
                <c:pt idx="6">
                  <c:v>38.403242280278391</c:v>
                </c:pt>
                <c:pt idx="7">
                  <c:v>43.188416137219193</c:v>
                </c:pt>
                <c:pt idx="8">
                  <c:v>48.117551211854341</c:v>
                </c:pt>
                <c:pt idx="9">
                  <c:v>53.149422285876405</c:v>
                </c:pt>
                <c:pt idx="10">
                  <c:v>58.256326772958559</c:v>
                </c:pt>
                <c:pt idx="11">
                  <c:v>63.419138108440897</c:v>
                </c:pt>
                <c:pt idx="12">
                  <c:v>68.624309209021206</c:v>
                </c:pt>
                <c:pt idx="13">
                  <c:v>73.862017784892814</c:v>
                </c:pt>
                <c:pt idx="14">
                  <c:v>79.124990014504789</c:v>
                </c:pt>
                <c:pt idx="15">
                  <c:v>84.407735884336645</c:v>
                </c:pt>
                <c:pt idx="16">
                  <c:v>89.706040270974839</c:v>
                </c:pt>
                <c:pt idx="17">
                  <c:v>95.016616677985951</c:v>
                </c:pt>
                <c:pt idx="18">
                  <c:v>100.33686678735255</c:v>
                </c:pt>
                <c:pt idx="19">
                  <c:v>105.66471032903021</c:v>
                </c:pt>
                <c:pt idx="20">
                  <c:v>110.99846261566886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B4-D34D-8736-06E2D232E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635216"/>
        <c:axId val="491122464"/>
      </c:lineChart>
      <c:catAx>
        <c:axId val="422635216"/>
        <c:scaling>
          <c:orientation val="minMax"/>
        </c:scaling>
        <c:delete val="0"/>
        <c:axPos val="b"/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1122464"/>
        <c:crosses val="autoZero"/>
        <c:auto val="1"/>
        <c:lblAlgn val="ctr"/>
        <c:lblOffset val="100"/>
        <c:noMultiLvlLbl val="0"/>
      </c:catAx>
      <c:valAx>
        <c:axId val="49112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263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825499</xdr:colOff>
      <xdr:row>0</xdr:row>
      <xdr:rowOff>39688</xdr:rowOff>
    </xdr:from>
    <xdr:to>
      <xdr:col>14</xdr:col>
      <xdr:colOff>140267</xdr:colOff>
      <xdr:row>20</xdr:row>
      <xdr:rowOff>120471</xdr:rowOff>
    </xdr:to>
    <xdr:pic>
      <xdr:nvPicPr>
        <xdr:cNvPr id="2" name="Bild 2">
          <a:extLst>
            <a:ext uri="{FF2B5EF4-FFF2-40B4-BE49-F238E27FC236}">
              <a16:creationId xmlns:a16="http://schemas.microsoft.com/office/drawing/2014/main" id="{28EE4F8F-2697-1B47-9AC8-0F9DA2DE10F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048499" y="39688"/>
          <a:ext cx="7426893" cy="4224158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14</xdr:col>
      <xdr:colOff>400843</xdr:colOff>
      <xdr:row>0</xdr:row>
      <xdr:rowOff>132555</xdr:rowOff>
    </xdr:from>
    <xdr:to>
      <xdr:col>26</xdr:col>
      <xdr:colOff>500062</xdr:colOff>
      <xdr:row>20</xdr:row>
      <xdr:rowOff>23813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74C1BE8E-F5A2-4C18-666B-C33AFC8000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40105</xdr:colOff>
      <xdr:row>56</xdr:row>
      <xdr:rowOff>60157</xdr:rowOff>
    </xdr:from>
    <xdr:to>
      <xdr:col>20</xdr:col>
      <xdr:colOff>139324</xdr:colOff>
      <xdr:row>88</xdr:row>
      <xdr:rowOff>126998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7AF27C85-09EF-1C44-A273-D474A13EBA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958427</xdr:colOff>
      <xdr:row>15</xdr:row>
      <xdr:rowOff>153560</xdr:rowOff>
    </xdr:from>
    <xdr:ext cx="9470390" cy="3840479"/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03D518F4-4D43-224C-86D4-4788F5086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11</xdr:col>
      <xdr:colOff>987446</xdr:colOff>
      <xdr:row>35</xdr:row>
      <xdr:rowOff>42333</xdr:rowOff>
    </xdr:from>
    <xdr:ext cx="9498520" cy="3840479"/>
    <xdr:graphicFrame macro="">
      <xdr:nvGraphicFramePr>
        <xdr:cNvPr id="3" name="Diagramm 3">
          <a:extLst>
            <a:ext uri="{FF2B5EF4-FFF2-40B4-BE49-F238E27FC236}">
              <a16:creationId xmlns:a16="http://schemas.microsoft.com/office/drawing/2014/main" id="{518A43A1-5613-9D41-9BC0-E758C5211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twoCellAnchor editAs="oneCell">
    <xdr:from>
      <xdr:col>11</xdr:col>
      <xdr:colOff>685801</xdr:colOff>
      <xdr:row>1</xdr:row>
      <xdr:rowOff>127000</xdr:rowOff>
    </xdr:from>
    <xdr:to>
      <xdr:col>19</xdr:col>
      <xdr:colOff>298071</xdr:colOff>
      <xdr:row>14</xdr:row>
      <xdr:rowOff>48111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id="{23B4EF68-7245-D140-96A3-0FC99E68E82F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5824201" y="330200"/>
          <a:ext cx="8553070" cy="2664311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120227</xdr:colOff>
      <xdr:row>16</xdr:row>
      <xdr:rowOff>9627</xdr:rowOff>
    </xdr:from>
    <xdr:ext cx="9502140" cy="3840479"/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00536733-3039-6149-A817-F3DAE61D5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12</xdr:col>
      <xdr:colOff>140779</xdr:colOff>
      <xdr:row>36</xdr:row>
      <xdr:rowOff>186266</xdr:rowOff>
    </xdr:from>
    <xdr:ext cx="9487937" cy="3840479"/>
    <xdr:graphicFrame macro="">
      <xdr:nvGraphicFramePr>
        <xdr:cNvPr id="3" name="Diagramm 3">
          <a:extLst>
            <a:ext uri="{FF2B5EF4-FFF2-40B4-BE49-F238E27FC236}">
              <a16:creationId xmlns:a16="http://schemas.microsoft.com/office/drawing/2014/main" id="{21906510-A340-D641-9BE1-C8B0CA2A9B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twoCellAnchor editAs="oneCell">
    <xdr:from>
      <xdr:col>12</xdr:col>
      <xdr:colOff>59267</xdr:colOff>
      <xdr:row>1</xdr:row>
      <xdr:rowOff>42334</xdr:rowOff>
    </xdr:from>
    <xdr:to>
      <xdr:col>19</xdr:col>
      <xdr:colOff>789137</xdr:colOff>
      <xdr:row>13</xdr:row>
      <xdr:rowOff>164529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id="{BAEA5CA6-316E-BD4C-AA17-B2EFD547B70C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6315267" y="245534"/>
          <a:ext cx="8553070" cy="266219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825499</xdr:colOff>
      <xdr:row>0</xdr:row>
      <xdr:rowOff>39688</xdr:rowOff>
    </xdr:from>
    <xdr:to>
      <xdr:col>14</xdr:col>
      <xdr:colOff>140267</xdr:colOff>
      <xdr:row>20</xdr:row>
      <xdr:rowOff>120471</xdr:rowOff>
    </xdr:to>
    <xdr:pic>
      <xdr:nvPicPr>
        <xdr:cNvPr id="2" name="Bild 2">
          <a:extLst>
            <a:ext uri="{FF2B5EF4-FFF2-40B4-BE49-F238E27FC236}">
              <a16:creationId xmlns:a16="http://schemas.microsoft.com/office/drawing/2014/main" id="{0AF0BFF6-E14D-EE42-83EC-F0D2B7766F8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048499" y="39688"/>
          <a:ext cx="7430068" cy="4170183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14</xdr:col>
      <xdr:colOff>400843</xdr:colOff>
      <xdr:row>0</xdr:row>
      <xdr:rowOff>132555</xdr:rowOff>
    </xdr:from>
    <xdr:to>
      <xdr:col>26</xdr:col>
      <xdr:colOff>500062</xdr:colOff>
      <xdr:row>20</xdr:row>
      <xdr:rowOff>23813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5C66179-8076-9F42-A257-AFA5FF467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40105</xdr:colOff>
      <xdr:row>57</xdr:row>
      <xdr:rowOff>60157</xdr:rowOff>
    </xdr:from>
    <xdr:to>
      <xdr:col>20</xdr:col>
      <xdr:colOff>139324</xdr:colOff>
      <xdr:row>89</xdr:row>
      <xdr:rowOff>126998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530D373-F068-F941-96A6-827E506BB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357187</xdr:colOff>
      <xdr:row>57</xdr:row>
      <xdr:rowOff>79376</xdr:rowOff>
    </xdr:from>
    <xdr:to>
      <xdr:col>32</xdr:col>
      <xdr:colOff>456406</xdr:colOff>
      <xdr:row>91</xdr:row>
      <xdr:rowOff>166688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82FEE6D9-A8FE-3349-A9C5-8BC81BA59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tephan/Library/Mobile%20Documents/com~apple~CloudDocs/DHBW/1M_Planung_und_Analyse%20von%20Netzen/Arbeitsbla&#776;tter/2_Leitungen/Berechnungen_zu_Leitungen_XL.xlsx" TargetMode="External"/><Relationship Id="rId1" Type="http://schemas.openxmlformats.org/officeDocument/2006/relationships/externalLinkPath" Target="/Users/stephan/Library/Mobile%20Documents/com~apple~CloudDocs/DHBW/1M_Planung_und_Analyse%20von%20Netzen/Arbeitsbla&#776;tter/2_Leitungen/Berechnungen_zu_Leitungen_X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nngößen_380kV"/>
      <sheetName val="Freileitung 380 kV"/>
      <sheetName val="Kabelstrecke 380 kV"/>
      <sheetName val="Kenngößen_20kV_110kV"/>
      <sheetName val="Tabelle für Klausur 2023"/>
      <sheetName val="Kebeleigenschaften 20 kV 110 kV"/>
    </sheetNames>
    <sheetDataSet>
      <sheetData sheetId="0" refreshError="1"/>
      <sheetData sheetId="1" refreshError="1"/>
      <sheetData sheetId="2" refreshError="1"/>
      <sheetData sheetId="3">
        <row r="22">
          <cell r="I22">
            <v>0</v>
          </cell>
          <cell r="J22">
            <v>1</v>
          </cell>
          <cell r="K22">
            <v>2</v>
          </cell>
          <cell r="L22">
            <v>3</v>
          </cell>
          <cell r="M22">
            <v>4</v>
          </cell>
          <cell r="N22">
            <v>5</v>
          </cell>
          <cell r="O22">
            <v>6</v>
          </cell>
          <cell r="P22">
            <v>7</v>
          </cell>
          <cell r="Q22">
            <v>8</v>
          </cell>
          <cell r="R22">
            <v>9</v>
          </cell>
          <cell r="S22">
            <v>10</v>
          </cell>
          <cell r="T22">
            <v>11</v>
          </cell>
          <cell r="U22">
            <v>12</v>
          </cell>
          <cell r="V22">
            <v>13</v>
          </cell>
          <cell r="W22">
            <v>14</v>
          </cell>
          <cell r="X22">
            <v>15</v>
          </cell>
          <cell r="Y22">
            <v>16</v>
          </cell>
          <cell r="Z22">
            <v>17</v>
          </cell>
          <cell r="AA22">
            <v>18</v>
          </cell>
          <cell r="AB22">
            <v>19</v>
          </cell>
          <cell r="AC22">
            <v>20</v>
          </cell>
        </row>
        <row r="25">
          <cell r="I25">
            <v>5.4749931583104219E-2</v>
          </cell>
          <cell r="J25">
            <v>6.1101745979025492E-2</v>
          </cell>
          <cell r="K25">
            <v>7.7360934141977589E-2</v>
          </cell>
          <cell r="L25">
            <v>9.8023017105803495E-2</v>
          </cell>
          <cell r="M25">
            <v>0.1203025505551784</v>
          </cell>
          <cell r="N25">
            <v>0.14302225588185735</v>
          </cell>
          <cell r="O25">
            <v>0.16566275167950739</v>
          </cell>
          <cell r="P25">
            <v>0.18797782314814956</v>
          </cell>
          <cell r="Q25">
            <v>0.20984492417361369</v>
          </cell>
          <cell r="R25">
            <v>0.23120253772665295</v>
          </cell>
          <cell r="S25">
            <v>0.25202151047410326</v>
          </cell>
          <cell r="T25">
            <v>0.27229084934881587</v>
          </cell>
          <cell r="U25">
            <v>0.29201019125128114</v>
          </cell>
          <cell r="V25">
            <v>0.31118557759095417</v>
          </cell>
          <cell r="W25">
            <v>0.32982696813868589</v>
          </cell>
          <cell r="X25">
            <v>0.34794671930039828</v>
          </cell>
          <cell r="Y25">
            <v>0.36555862174667386</v>
          </cell>
          <cell r="Z25">
            <v>0.38267727535787277</v>
          </cell>
          <cell r="AA25">
            <v>0.3993176746070507</v>
          </cell>
          <cell r="AB25">
            <v>0.41549492917674191</v>
          </cell>
          <cell r="AC25">
            <v>0.43122407376224386</v>
          </cell>
        </row>
        <row r="26">
          <cell r="H26" t="str">
            <v>Blindleistung Leitung 1 [MVar]</v>
          </cell>
          <cell r="I26">
            <v>-1.896539913365773</v>
          </cell>
          <cell r="J26">
            <v>-1.8535267998931984</v>
          </cell>
          <cell r="K26">
            <v>-1.7872107160625363</v>
          </cell>
          <cell r="L26">
            <v>-1.6998630581552652</v>
          </cell>
          <cell r="M26">
            <v>-1.5935800080937939</v>
          </cell>
          <cell r="N26">
            <v>-1.4702928220800624</v>
          </cell>
          <cell r="O26">
            <v>-1.3317780987400625</v>
          </cell>
          <cell r="P26">
            <v>-1.1796678830723741</v>
          </cell>
          <cell r="Q26">
            <v>-1.0154594972899198</v>
          </cell>
          <cell r="R26">
            <v>-0.84052501848228545</v>
          </cell>
          <cell r="S26">
            <v>-0.65612034667529739</v>
          </cell>
          <cell r="T26">
            <v>-0.4633938260522007</v>
          </cell>
          <cell r="U26">
            <v>-0.26339439748889254</v>
          </cell>
          <cell r="V26">
            <v>-5.7079272739896186E-2</v>
          </cell>
          <cell r="W26">
            <v>0.15467886988300039</v>
          </cell>
          <cell r="X26">
            <v>0.37108516121350643</v>
          </cell>
          <cell r="Y26">
            <v>0.59141627573150501</v>
          </cell>
          <cell r="Z26">
            <v>0.81501460830945338</v>
          </cell>
          <cell r="AA26">
            <v>1.0412828738874889</v>
          </cell>
          <cell r="AB26">
            <v>1.2696791089587709</v>
          </cell>
          <cell r="AC26">
            <v>1.4997120527077665</v>
          </cell>
        </row>
        <row r="27">
          <cell r="H27" t="str">
            <v>Wirkleistung Leitung 1 [MW]</v>
          </cell>
          <cell r="I27">
            <v>1.4225576826886532E-2</v>
          </cell>
          <cell r="J27">
            <v>1.0220305455807615</v>
          </cell>
          <cell r="K27">
            <v>1.9968812718773523</v>
          </cell>
          <cell r="L27">
            <v>2.9395033326309741</v>
          </cell>
          <cell r="M27">
            <v>3.8506813892999894</v>
          </cell>
          <cell r="N27">
            <v>4.73124484997156</v>
          </cell>
          <cell r="O27">
            <v>5.5820555218080425</v>
          </cell>
          <cell r="P27">
            <v>6.4039970393706422</v>
          </cell>
          <cell r="Q27">
            <v>7.1979658689854418</v>
          </cell>
          <cell r="R27">
            <v>7.9648637047220472</v>
          </cell>
          <cell r="S27">
            <v>8.7055910873792435</v>
          </cell>
          <cell r="T27">
            <v>9.4210420935741581</v>
          </cell>
          <cell r="U27">
            <v>10.112099957224673</v>
          </cell>
          <cell r="V27">
            <v>10.779633500141014</v>
          </cell>
          <cell r="W27">
            <v>11.424494261939167</v>
          </cell>
          <cell r="X27">
            <v>12.047514231965831</v>
          </cell>
          <cell r="Y27">
            <v>12.649504097346792</v>
          </cell>
          <cell r="Z27">
            <v>13.231251931643975</v>
          </cell>
          <cell r="AA27">
            <v>13.793522257960351</v>
          </cell>
          <cell r="AB27">
            <v>14.337055428719545</v>
          </cell>
          <cell r="AC27">
            <v>14.862567271823846</v>
          </cell>
        </row>
        <row r="28">
          <cell r="H28" t="str">
            <v>Scheinleistung Leitung 1 [MVA]</v>
          </cell>
          <cell r="I28">
            <v>1.8965932642571288</v>
          </cell>
          <cell r="J28">
            <v>2.1166265693367898</v>
          </cell>
          <cell r="K28">
            <v>2.679861369097901</v>
          </cell>
          <cell r="L28">
            <v>3.3956169187688965</v>
          </cell>
          <cell r="M28">
            <v>4.1674025968338491</v>
          </cell>
          <cell r="N28">
            <v>4.9544362760098712</v>
          </cell>
          <cell r="O28">
            <v>5.7387260566114628</v>
          </cell>
          <cell r="P28">
            <v>6.5117428077758417</v>
          </cell>
          <cell r="Q28">
            <v>7.2692414075827498</v>
          </cell>
          <cell r="R28">
            <v>8.0090908436284618</v>
          </cell>
          <cell r="S28">
            <v>8.7302812148279756</v>
          </cell>
          <cell r="T28">
            <v>9.4324317101646411</v>
          </cell>
          <cell r="U28">
            <v>10.115529751502477</v>
          </cell>
          <cell r="V28">
            <v>10.779784619403994</v>
          </cell>
          <cell r="W28">
            <v>11.425541330452104</v>
          </cell>
          <cell r="X28">
            <v>12.053227923103922</v>
          </cell>
          <cell r="Y28">
            <v>12.663322120201848</v>
          </cell>
          <cell r="Z28">
            <v>13.256329676437224</v>
          </cell>
          <cell r="AA28">
            <v>13.83277001559337</v>
          </cell>
          <cell r="AB28">
            <v>14.393166552426985</v>
          </cell>
          <cell r="AC28">
            <v>14.938040104060715</v>
          </cell>
        </row>
        <row r="29">
          <cell r="I29">
            <v>0.26087840348629554</v>
          </cell>
          <cell r="J29">
            <v>0.2622992537912413</v>
          </cell>
          <cell r="K29">
            <v>0.26683621944117308</v>
          </cell>
          <cell r="L29">
            <v>0.27431883097036086</v>
          </cell>
          <cell r="M29">
            <v>0.28449928637574878</v>
          </cell>
          <cell r="N29">
            <v>0.2970854090856182</v>
          </cell>
          <cell r="O29">
            <v>0.31177160352829081</v>
          </cell>
          <cell r="P29">
            <v>0.32826234220347444</v>
          </cell>
          <cell r="Q29">
            <v>0.34628673826890727</v>
          </cell>
          <cell r="R29">
            <v>0.36560544934453831</v>
          </cell>
          <cell r="S29">
            <v>0.38601218051205283</v>
          </cell>
          <cell r="T29">
            <v>0.40733196640147279</v>
          </cell>
          <cell r="U29">
            <v>0.42941786983654756</v>
          </cell>
          <cell r="V29">
            <v>0.45214715008397466</v>
          </cell>
          <cell r="W29">
            <v>0.47541749534364952</v>
          </cell>
          <cell r="X29">
            <v>0.49914360826568505</v>
          </cell>
          <cell r="Y29">
            <v>0.52325425083038923</v>
          </cell>
          <cell r="Z29">
            <v>0.5476897564990868</v>
          </cell>
          <cell r="AA29">
            <v>0.57239997061529246</v>
          </cell>
          <cell r="AB29">
            <v>0.59734256222035087</v>
          </cell>
          <cell r="AC29">
            <v>0.62248164782526783</v>
          </cell>
        </row>
        <row r="30">
          <cell r="H30" t="str">
            <v>Blindleistung Leitung 2 [Mvar]</v>
          </cell>
          <cell r="I30">
            <v>-49.70391964749205</v>
          </cell>
          <cell r="J30">
            <v>-49.646427608698282</v>
          </cell>
          <cell r="K30">
            <v>-49.560091850485307</v>
          </cell>
          <cell r="L30">
            <v>-49.44506625844582</v>
          </cell>
          <cell r="M30">
            <v>-49.301506181262688</v>
          </cell>
          <cell r="N30">
            <v>-49.129568395230514</v>
          </cell>
          <cell r="O30">
            <v>-48.929411068742176</v>
          </cell>
          <cell r="P30">
            <v>-48.701193726845354</v>
          </cell>
          <cell r="Q30">
            <v>-48.445077215876445</v>
          </cell>
          <cell r="R30">
            <v>-48.161223668183993</v>
          </cell>
          <cell r="S30">
            <v>-47.849796466952355</v>
          </cell>
          <cell r="T30">
            <v>-47.510960211130055</v>
          </cell>
          <cell r="U30">
            <v>-47.144880680478423</v>
          </cell>
          <cell r="V30">
            <v>-46.751724800747496</v>
          </cell>
          <cell r="W30">
            <v>-46.331660608981835</v>
          </cell>
          <cell r="X30">
            <v>-45.88485721897797</v>
          </cell>
          <cell r="Y30">
            <v>-45.411484786891279</v>
          </cell>
          <cell r="Z30">
            <v>-44.911714477000544</v>
          </cell>
          <cell r="AA30">
            <v>-44.385718427649358</v>
          </cell>
          <cell r="AB30">
            <v>-43.833669717357111</v>
          </cell>
          <cell r="AC30">
            <v>-43.255742331123628</v>
          </cell>
        </row>
        <row r="31">
          <cell r="I31">
            <v>9.5523282107318169E-2</v>
          </cell>
          <cell r="J31">
            <v>5.7188147964438834</v>
          </cell>
          <cell r="K31">
            <v>11.331999575398847</v>
          </cell>
          <cell r="L31">
            <v>16.934881927649265</v>
          </cell>
          <cell r="M31">
            <v>22.527268444766698</v>
          </cell>
          <cell r="N31">
            <v>28.10896799746169</v>
          </cell>
          <cell r="O31">
            <v>33.67979174362118</v>
          </cell>
          <cell r="P31">
            <v>39.239553135755088</v>
          </cell>
          <cell r="Q31">
            <v>44.788067927865761</v>
          </cell>
          <cell r="R31">
            <v>50.325154181735641</v>
          </cell>
          <cell r="S31">
            <v>55.850632272647061</v>
          </cell>
          <cell r="T31">
            <v>61.364324894533169</v>
          </cell>
          <cell r="U31">
            <v>66.866057064570754</v>
          </cell>
          <cell r="V31">
            <v>72.355656127216918</v>
          </cell>
          <cell r="W31">
            <v>77.832951757694588</v>
          </cell>
          <cell r="X31">
            <v>83.297775964939817</v>
          </cell>
          <cell r="Y31">
            <v>88.749963094010099</v>
          </cell>
          <cell r="Z31">
            <v>94.189349827958949</v>
          </cell>
          <cell r="AA31">
            <v>99.615775189191297</v>
          </cell>
          <cell r="AB31">
            <v>105.0290805402994</v>
          </cell>
          <cell r="AC31">
            <v>110.42910958438725</v>
          </cell>
        </row>
        <row r="32">
          <cell r="I32">
            <v>49.704011437928941</v>
          </cell>
          <cell r="J32">
            <v>49.974719778921667</v>
          </cell>
          <cell r="K32">
            <v>50.839127830888081</v>
          </cell>
          <cell r="L32">
            <v>52.26475679849203</v>
          </cell>
          <cell r="M32">
            <v>54.204394059187351</v>
          </cell>
          <cell r="N32">
            <v>56.602372499604279</v>
          </cell>
          <cell r="O32">
            <v>59.40046834350418</v>
          </cell>
          <cell r="P32">
            <v>62.542376039877702</v>
          </cell>
          <cell r="Q32">
            <v>65.976484713595866</v>
          </cell>
          <cell r="R32">
            <v>69.657193516766881</v>
          </cell>
          <cell r="S32">
            <v>73.545197988605693</v>
          </cell>
          <cell r="T32">
            <v>77.607162748971859</v>
          </cell>
          <cell r="U32">
            <v>81.815092505838919</v>
          </cell>
          <cell r="V32">
            <v>86.14560200872063</v>
          </cell>
          <cell r="W32">
            <v>90.579198241657522</v>
          </cell>
          <cell r="X32">
            <v>95.099629876836531</v>
          </cell>
          <cell r="Y32">
            <v>99.693324248608604</v>
          </cell>
          <cell r="Z32">
            <v>104.34891335455895</v>
          </cell>
          <cell r="AA32">
            <v>109.05684144922807</v>
          </cell>
          <cell r="AB32">
            <v>113.80904340179232</v>
          </cell>
          <cell r="AC32">
            <v>118.59868248938167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4B9F3-6924-B847-8AB5-A07E0E08F480}">
  <dimension ref="A1:AE55"/>
  <sheetViews>
    <sheetView topLeftCell="A2" zoomScale="130" zoomScaleNormal="130" workbookViewId="0">
      <selection activeCell="B18" sqref="B18"/>
    </sheetView>
  </sheetViews>
  <sheetFormatPr baseColWidth="10" defaultRowHeight="16" x14ac:dyDescent="0.2"/>
  <cols>
    <col min="1" max="1" width="17" customWidth="1"/>
    <col min="2" max="2" width="15" style="1" customWidth="1"/>
    <col min="3" max="3" width="15.83203125" style="1" customWidth="1"/>
    <col min="6" max="6" width="12.1640625" bestFit="1" customWidth="1"/>
    <col min="8" max="8" width="30.6640625" customWidth="1"/>
  </cols>
  <sheetData>
    <row r="1" spans="1:5" ht="17" thickBot="1" x14ac:dyDescent="0.25">
      <c r="A1" s="77" t="s">
        <v>0</v>
      </c>
      <c r="B1" s="66" t="s">
        <v>1</v>
      </c>
      <c r="C1" s="66" t="s">
        <v>2</v>
      </c>
    </row>
    <row r="2" spans="1:5" x14ac:dyDescent="0.2">
      <c r="A2" s="57" t="s">
        <v>24</v>
      </c>
      <c r="B2" s="67">
        <v>380</v>
      </c>
      <c r="C2" s="83">
        <f>B2</f>
        <v>380</v>
      </c>
      <c r="D2" s="58" t="s">
        <v>25</v>
      </c>
      <c r="E2" s="59"/>
    </row>
    <row r="3" spans="1:5" x14ac:dyDescent="0.2">
      <c r="A3" s="60" t="s">
        <v>3</v>
      </c>
      <c r="B3" s="68">
        <v>13.8</v>
      </c>
      <c r="C3" s="68">
        <v>10.8</v>
      </c>
      <c r="D3" s="61" t="s">
        <v>11</v>
      </c>
      <c r="E3" s="62"/>
    </row>
    <row r="4" spans="1:5" x14ac:dyDescent="0.2">
      <c r="A4" s="60" t="s">
        <v>4</v>
      </c>
      <c r="B4" s="68">
        <v>0.8</v>
      </c>
      <c r="C4" s="68">
        <v>0.6</v>
      </c>
      <c r="D4" s="61" t="s">
        <v>12</v>
      </c>
      <c r="E4" s="62"/>
    </row>
    <row r="5" spans="1:5" x14ac:dyDescent="0.2">
      <c r="A5" s="60" t="s">
        <v>5</v>
      </c>
      <c r="B5" s="68">
        <v>14.2</v>
      </c>
      <c r="C5" s="68">
        <v>245</v>
      </c>
      <c r="D5" s="61" t="s">
        <v>13</v>
      </c>
      <c r="E5" s="62"/>
    </row>
    <row r="6" spans="1:5" ht="17" thickBot="1" x14ac:dyDescent="0.25">
      <c r="A6" s="63" t="s">
        <v>66</v>
      </c>
      <c r="B6" s="69">
        <v>3000</v>
      </c>
      <c r="C6" s="69">
        <v>1250</v>
      </c>
      <c r="D6" s="64" t="s">
        <v>15</v>
      </c>
      <c r="E6" s="65" t="s">
        <v>67</v>
      </c>
    </row>
    <row r="7" spans="1:5" x14ac:dyDescent="0.2">
      <c r="B7" s="70"/>
      <c r="C7" s="70"/>
    </row>
    <row r="8" spans="1:5" x14ac:dyDescent="0.2">
      <c r="A8" t="s">
        <v>18</v>
      </c>
      <c r="B8" s="71">
        <f>1000*B6/(SQRT(3)*B2)</f>
        <v>4558.0284409707301</v>
      </c>
      <c r="C8" s="71">
        <f>1000*C6/(SQRT(3)*C2)</f>
        <v>1899.1785170711375</v>
      </c>
      <c r="D8" t="s">
        <v>23</v>
      </c>
    </row>
    <row r="9" spans="1:5" x14ac:dyDescent="0.2">
      <c r="A9" s="78" t="s">
        <v>16</v>
      </c>
      <c r="B9" s="79">
        <f>1000*SQRT(B4/B5)</f>
        <v>237.35633163877068</v>
      </c>
      <c r="C9" s="80">
        <f>1000*SQRT(C4/C5)</f>
        <v>49.487165930539348</v>
      </c>
      <c r="D9" s="78" t="s">
        <v>22</v>
      </c>
      <c r="E9" s="78"/>
    </row>
    <row r="10" spans="1:5" x14ac:dyDescent="0.2">
      <c r="A10" s="78" t="s">
        <v>17</v>
      </c>
      <c r="B10" s="79">
        <f>B2*B2/B9</f>
        <v>608.36801362333301</v>
      </c>
      <c r="C10" s="79">
        <f>C2*C2/C9</f>
        <v>2917.9282604843688</v>
      </c>
      <c r="D10" s="78" t="s">
        <v>26</v>
      </c>
      <c r="E10" s="78"/>
    </row>
    <row r="11" spans="1:5" x14ac:dyDescent="0.2">
      <c r="A11" t="s">
        <v>28</v>
      </c>
      <c r="B11" s="71">
        <f>B4*2*PI()*50</f>
        <v>251.32741228718345</v>
      </c>
      <c r="C11" s="71">
        <f>C4*2*PI()*50</f>
        <v>188.49555921538757</v>
      </c>
      <c r="D11" t="s">
        <v>11</v>
      </c>
    </row>
    <row r="12" spans="1:5" x14ac:dyDescent="0.2">
      <c r="A12" t="s">
        <v>27</v>
      </c>
      <c r="B12" s="71">
        <f>B11/B3</f>
        <v>18.212131325158222</v>
      </c>
      <c r="C12" s="71">
        <f>C11/C3</f>
        <v>17.453292519943293</v>
      </c>
    </row>
    <row r="13" spans="1:5" x14ac:dyDescent="0.2">
      <c r="A13" t="s">
        <v>65</v>
      </c>
      <c r="B13" s="72">
        <f>B6/B10</f>
        <v>4.9312257265672583</v>
      </c>
      <c r="C13" s="72">
        <f>C6/C10</f>
        <v>0.42838613167018136</v>
      </c>
      <c r="D13" t="s">
        <v>70</v>
      </c>
    </row>
    <row r="14" spans="1:5" x14ac:dyDescent="0.2">
      <c r="B14" s="71"/>
      <c r="C14" s="71"/>
      <c r="D14" t="s">
        <v>67</v>
      </c>
    </row>
    <row r="15" spans="1:5" x14ac:dyDescent="0.2">
      <c r="B15" s="71"/>
      <c r="C15" s="71"/>
    </row>
    <row r="16" spans="1:5" x14ac:dyDescent="0.2">
      <c r="A16" t="s">
        <v>69</v>
      </c>
      <c r="B16" s="71"/>
      <c r="C16" s="71"/>
    </row>
    <row r="17" spans="1:30" x14ac:dyDescent="0.2">
      <c r="A17" t="s">
        <v>6</v>
      </c>
      <c r="B17" s="88">
        <v>100</v>
      </c>
      <c r="C17" s="70">
        <f>B17</f>
        <v>100</v>
      </c>
      <c r="D17" t="s">
        <v>7</v>
      </c>
    </row>
    <row r="18" spans="1:30" x14ac:dyDescent="0.2">
      <c r="A18" t="s">
        <v>19</v>
      </c>
      <c r="B18" s="70">
        <f>B3*B17</f>
        <v>1380</v>
      </c>
      <c r="C18" s="70">
        <f>C3*C17</f>
        <v>1080</v>
      </c>
      <c r="D18" t="s">
        <v>8</v>
      </c>
    </row>
    <row r="19" spans="1:30" x14ac:dyDescent="0.2">
      <c r="A19" t="s">
        <v>20</v>
      </c>
      <c r="B19" s="70">
        <f>B4*B17</f>
        <v>80</v>
      </c>
      <c r="C19" s="70">
        <f>C4*C17</f>
        <v>60</v>
      </c>
      <c r="D19" t="s">
        <v>9</v>
      </c>
    </row>
    <row r="20" spans="1:30" x14ac:dyDescent="0.2">
      <c r="A20" t="s">
        <v>21</v>
      </c>
      <c r="B20" s="70">
        <f>B5*B17</f>
        <v>1420</v>
      </c>
      <c r="C20" s="70">
        <f>C5*C17</f>
        <v>24500</v>
      </c>
      <c r="D20" t="s">
        <v>10</v>
      </c>
    </row>
    <row r="21" spans="1:30" ht="17" thickBot="1" x14ac:dyDescent="0.25">
      <c r="B21" s="70"/>
      <c r="C21" s="70"/>
    </row>
    <row r="22" spans="1:30" ht="17" thickBot="1" x14ac:dyDescent="0.25">
      <c r="A22" s="45" t="s">
        <v>64</v>
      </c>
      <c r="B22" s="73" t="s">
        <v>71</v>
      </c>
      <c r="C22" s="76"/>
      <c r="D22" s="46"/>
      <c r="H22" t="s">
        <v>87</v>
      </c>
      <c r="I22" s="1">
        <v>0</v>
      </c>
      <c r="J22" s="1">
        <v>200</v>
      </c>
      <c r="K22" s="1">
        <v>400</v>
      </c>
      <c r="L22" s="1">
        <v>600</v>
      </c>
      <c r="M22" s="1">
        <v>800</v>
      </c>
      <c r="N22" s="1">
        <v>1000</v>
      </c>
      <c r="O22" s="1">
        <v>1200</v>
      </c>
      <c r="P22" s="1">
        <v>1400</v>
      </c>
      <c r="Q22" s="1">
        <v>1600</v>
      </c>
      <c r="R22" s="1">
        <v>1800</v>
      </c>
      <c r="S22" s="1">
        <v>2000</v>
      </c>
      <c r="T22" s="1">
        <v>2200</v>
      </c>
      <c r="U22" s="1">
        <v>2400</v>
      </c>
      <c r="V22" s="1">
        <v>2600</v>
      </c>
      <c r="W22" s="1">
        <v>2800</v>
      </c>
      <c r="X22" s="1">
        <v>3000</v>
      </c>
      <c r="Y22" s="1">
        <v>3200</v>
      </c>
      <c r="Z22" s="1">
        <v>3400</v>
      </c>
      <c r="AA22" s="1">
        <v>3600</v>
      </c>
      <c r="AB22" s="1">
        <v>3800</v>
      </c>
      <c r="AC22" s="1">
        <v>4000</v>
      </c>
    </row>
    <row r="23" spans="1:30" ht="17" thickBot="1" x14ac:dyDescent="0.25">
      <c r="A23" s="45" t="s">
        <v>62</v>
      </c>
      <c r="B23" s="51">
        <v>48</v>
      </c>
      <c r="C23" s="56">
        <v>115</v>
      </c>
      <c r="D23" s="46" t="s">
        <v>22</v>
      </c>
      <c r="H23" t="s">
        <v>88</v>
      </c>
      <c r="I23" s="81">
        <v>1000000000000</v>
      </c>
      <c r="J23" s="2">
        <f>$B$2*$B$2/J22</f>
        <v>722</v>
      </c>
      <c r="K23" s="2">
        <f t="shared" ref="K23:AC23" si="0">$B$2*$B$2/K22</f>
        <v>361</v>
      </c>
      <c r="L23" s="2">
        <f t="shared" si="0"/>
        <v>240.66666666666666</v>
      </c>
      <c r="M23" s="2">
        <f t="shared" si="0"/>
        <v>180.5</v>
      </c>
      <c r="N23" s="2">
        <f t="shared" si="0"/>
        <v>144.4</v>
      </c>
      <c r="O23" s="2">
        <f t="shared" si="0"/>
        <v>120.33333333333333</v>
      </c>
      <c r="P23" s="2">
        <f t="shared" si="0"/>
        <v>103.14285714285714</v>
      </c>
      <c r="Q23" s="2">
        <f t="shared" si="0"/>
        <v>90.25</v>
      </c>
      <c r="R23" s="2">
        <f t="shared" si="0"/>
        <v>80.222222222222229</v>
      </c>
      <c r="S23" s="2">
        <f t="shared" si="0"/>
        <v>72.2</v>
      </c>
      <c r="T23" s="2">
        <f t="shared" si="0"/>
        <v>65.63636363636364</v>
      </c>
      <c r="U23" s="2">
        <f t="shared" si="0"/>
        <v>60.166666666666664</v>
      </c>
      <c r="V23" s="2">
        <f t="shared" si="0"/>
        <v>55.53846153846154</v>
      </c>
      <c r="W23" s="2">
        <f t="shared" si="0"/>
        <v>51.571428571428569</v>
      </c>
      <c r="X23" s="2">
        <f t="shared" si="0"/>
        <v>48.133333333333333</v>
      </c>
      <c r="Y23" s="85">
        <f t="shared" si="0"/>
        <v>45.125</v>
      </c>
      <c r="Z23" s="85">
        <f t="shared" si="0"/>
        <v>42.470588235294116</v>
      </c>
      <c r="AA23" s="85">
        <f t="shared" si="0"/>
        <v>40.111111111111114</v>
      </c>
      <c r="AB23" s="85">
        <f t="shared" si="0"/>
        <v>38</v>
      </c>
      <c r="AC23" s="85">
        <f t="shared" si="0"/>
        <v>36.1</v>
      </c>
    </row>
    <row r="24" spans="1:30" x14ac:dyDescent="0.2">
      <c r="A24" s="47"/>
      <c r="B24" s="70"/>
      <c r="C24" s="70"/>
      <c r="D24" s="48"/>
      <c r="H24" t="s">
        <v>93</v>
      </c>
      <c r="I24" s="84">
        <f>$B$2/(SQRT(3)*IMABS(I39))*1</f>
        <v>9.814849049796194E-2</v>
      </c>
      <c r="J24" s="84">
        <f t="shared" ref="J24:AC24" si="1">$B$2/(SQRT(3)*IMABS(J39))*1</f>
        <v>0.31853027311471477</v>
      </c>
      <c r="K24" s="84">
        <f t="shared" si="1"/>
        <v>0.61176976760936641</v>
      </c>
      <c r="L24" s="84">
        <f t="shared" si="1"/>
        <v>0.90667417310156551</v>
      </c>
      <c r="M24" s="84">
        <f t="shared" si="1"/>
        <v>1.1985746144491327</v>
      </c>
      <c r="N24" s="84">
        <f t="shared" si="1"/>
        <v>1.4857912575873735</v>
      </c>
      <c r="O24" s="84">
        <f t="shared" si="1"/>
        <v>1.7672437266723235</v>
      </c>
      <c r="P24" s="84">
        <f t="shared" si="1"/>
        <v>2.0420968387511471</v>
      </c>
      <c r="Q24" s="84">
        <f t="shared" si="1"/>
        <v>2.3096736252638235</v>
      </c>
      <c r="R24" s="84">
        <f t="shared" si="1"/>
        <v>2.5694264469037043</v>
      </c>
      <c r="S24" s="84">
        <f t="shared" si="1"/>
        <v>2.8209237659622657</v>
      </c>
      <c r="T24" s="84">
        <f t="shared" si="1"/>
        <v>3.0638411957783327</v>
      </c>
      <c r="U24" s="84">
        <f t="shared" si="1"/>
        <v>3.2979533312519518</v>
      </c>
      <c r="V24" s="84">
        <f t="shared" si="1"/>
        <v>3.5231253120180326</v>
      </c>
      <c r="W24" s="84">
        <f t="shared" si="1"/>
        <v>3.7393039316263668</v>
      </c>
      <c r="X24" s="84">
        <f t="shared" si="1"/>
        <v>3.9465084219595439</v>
      </c>
      <c r="Y24" s="84">
        <f t="shared" si="1"/>
        <v>4.1448211443109297</v>
      </c>
      <c r="Z24" s="84">
        <f t="shared" si="1"/>
        <v>4.3343784294573968</v>
      </c>
      <c r="AA24" s="84">
        <f t="shared" si="1"/>
        <v>4.5153617800445742</v>
      </c>
      <c r="AB24" s="84">
        <f t="shared" si="1"/>
        <v>4.6879896037532562</v>
      </c>
      <c r="AC24" s="84">
        <f t="shared" si="1"/>
        <v>4.8525095972724532</v>
      </c>
    </row>
    <row r="25" spans="1:30" x14ac:dyDescent="0.2">
      <c r="A25" s="47" t="s">
        <v>86</v>
      </c>
      <c r="B25" s="71">
        <f>B2*B2/B23</f>
        <v>3008.3333333333335</v>
      </c>
      <c r="C25" s="71">
        <f>C2*C2/C23</f>
        <v>1255.6521739130435</v>
      </c>
      <c r="D25" s="48" t="s">
        <v>15</v>
      </c>
      <c r="H25" t="s">
        <v>89</v>
      </c>
      <c r="I25" s="3">
        <f>I$24*I$24*IMAGINARY(I$39)*3</f>
        <v>-64.599304668772177</v>
      </c>
      <c r="J25" s="3">
        <f t="shared" ref="J25:AC25" si="2">J24*J24*IMAGINARY(J39)*3</f>
        <v>-57.430105291475485</v>
      </c>
      <c r="K25" s="3">
        <f t="shared" si="2"/>
        <v>-36.383717124466557</v>
      </c>
      <c r="L25" s="3">
        <f t="shared" si="2"/>
        <v>-1.919401123128468</v>
      </c>
      <c r="M25" s="3">
        <f t="shared" si="2"/>
        <v>45.327976884980835</v>
      </c>
      <c r="N25" s="3">
        <f t="shared" si="2"/>
        <v>104.57118012589436</v>
      </c>
      <c r="O25" s="3">
        <f t="shared" si="2"/>
        <v>174.89763031260958</v>
      </c>
      <c r="P25" s="3">
        <f t="shared" si="2"/>
        <v>255.29864455272849</v>
      </c>
      <c r="Q25" s="3">
        <f t="shared" si="2"/>
        <v>344.69931160740089</v>
      </c>
      <c r="R25" s="3">
        <f t="shared" si="2"/>
        <v>441.9875792684258</v>
      </c>
      <c r="S25" s="3">
        <f t="shared" si="2"/>
        <v>546.04135447860222</v>
      </c>
      <c r="T25" s="3">
        <f t="shared" si="2"/>
        <v>655.75270224273731</v>
      </c>
      <c r="U25" s="3">
        <f t="shared" si="2"/>
        <v>770.04853324637384</v>
      </c>
      <c r="V25" s="3">
        <f t="shared" si="2"/>
        <v>887.90746305695473</v>
      </c>
      <c r="W25" s="3">
        <f t="shared" si="2"/>
        <v>1008.3727849938133</v>
      </c>
      <c r="X25" s="3">
        <f t="shared" si="2"/>
        <v>1130.5617099265198</v>
      </c>
      <c r="Y25" s="3">
        <f t="shared" si="2"/>
        <v>1253.6711832103988</v>
      </c>
      <c r="Z25" s="3">
        <f t="shared" si="2"/>
        <v>1376.9806922084367</v>
      </c>
      <c r="AA25" s="3">
        <f t="shared" si="2"/>
        <v>1499.8525327061675</v>
      </c>
      <c r="AB25" s="3">
        <f t="shared" si="2"/>
        <v>1621.7300172099913</v>
      </c>
      <c r="AC25" s="3">
        <f t="shared" si="2"/>
        <v>1742.1340920251116</v>
      </c>
      <c r="AD25" s="84"/>
    </row>
    <row r="26" spans="1:30" ht="17" thickBot="1" x14ac:dyDescent="0.25">
      <c r="A26" s="49" t="s">
        <v>63</v>
      </c>
      <c r="B26" s="74">
        <f>$B$2/(SQRT(3)*B23)</f>
        <v>4.5706896310845373</v>
      </c>
      <c r="C26" s="74">
        <f>C2/(SQRT(3)*C23)</f>
        <v>1.9077661068874592</v>
      </c>
      <c r="D26" s="50" t="s">
        <v>37</v>
      </c>
      <c r="H26" t="s">
        <v>104</v>
      </c>
      <c r="I26" s="3">
        <f>I$24*I$24*IMREAL(I$39)*3</f>
        <v>1.0026560053252854E-2</v>
      </c>
      <c r="J26" s="3">
        <f t="shared" ref="J26:AC26" si="3">J$24*J$24*IMREAL(J$39)*3</f>
        <v>201.63065223519391</v>
      </c>
      <c r="K26" s="3">
        <f t="shared" si="3"/>
        <v>401.00702139083955</v>
      </c>
      <c r="L26" s="3">
        <f t="shared" si="3"/>
        <v>596.75109202406645</v>
      </c>
      <c r="M26" s="3">
        <f t="shared" si="3"/>
        <v>787.573685317642</v>
      </c>
      <c r="N26" s="3">
        <f t="shared" si="3"/>
        <v>972.30995299111862</v>
      </c>
      <c r="O26" s="3">
        <f t="shared" si="3"/>
        <v>1149.9389408252371</v>
      </c>
      <c r="P26" s="3">
        <f t="shared" si="3"/>
        <v>1319.5967933372351</v>
      </c>
      <c r="Q26" s="3">
        <f t="shared" si="3"/>
        <v>1480.5835841137316</v>
      </c>
      <c r="R26" s="3">
        <f t="shared" si="3"/>
        <v>1632.3641448599985</v>
      </c>
      <c r="S26" s="3">
        <f t="shared" si="3"/>
        <v>1774.563574011192</v>
      </c>
      <c r="T26" s="3">
        <f t="shared" si="3"/>
        <v>1906.9583168130857</v>
      </c>
      <c r="U26" s="3">
        <f t="shared" si="3"/>
        <v>2029.4638206938534</v>
      </c>
      <c r="V26" s="3">
        <f t="shared" si="3"/>
        <v>2142.1197912188463</v>
      </c>
      <c r="W26" s="3">
        <f t="shared" si="3"/>
        <v>2245.0740212662295</v>
      </c>
      <c r="X26" s="3">
        <f t="shared" si="3"/>
        <v>2338.56565944677</v>
      </c>
      <c r="Y26" s="3">
        <f t="shared" si="3"/>
        <v>2422.9086439003604</v>
      </c>
      <c r="Z26" s="3">
        <f t="shared" si="3"/>
        <v>2498.475873139254</v>
      </c>
      <c r="AA26" s="3">
        <f t="shared" si="3"/>
        <v>2565.6845317703105</v>
      </c>
      <c r="AB26" s="3">
        <f t="shared" si="3"/>
        <v>2624.9828467756056</v>
      </c>
      <c r="AC26" s="3">
        <f t="shared" si="3"/>
        <v>2676.8384265499049</v>
      </c>
    </row>
    <row r="27" spans="1:30" ht="17" thickBot="1" x14ac:dyDescent="0.25">
      <c r="A27" s="49" t="s">
        <v>68</v>
      </c>
      <c r="B27" s="75">
        <f>B25/B10</f>
        <v>4.9449235758077235</v>
      </c>
      <c r="C27" s="75">
        <f>C25/C10</f>
        <v>0.43032318200469</v>
      </c>
      <c r="D27" s="50"/>
      <c r="H27" t="s">
        <v>105</v>
      </c>
      <c r="I27" s="3">
        <f>SQRT(I25*I25+I26*I26)</f>
        <v>64.599305446891279</v>
      </c>
      <c r="J27" s="3">
        <f t="shared" ref="J27:AC27" si="4">SQRT(J25*J25+J26*J26)</f>
        <v>209.65003437772117</v>
      </c>
      <c r="K27" s="3">
        <f t="shared" si="4"/>
        <v>402.65420161293042</v>
      </c>
      <c r="L27" s="3">
        <f t="shared" si="4"/>
        <v>596.75417881451597</v>
      </c>
      <c r="M27" s="3">
        <f t="shared" si="4"/>
        <v>788.87700897750688</v>
      </c>
      <c r="N27" s="3">
        <f t="shared" si="4"/>
        <v>977.91706008153551</v>
      </c>
      <c r="O27" s="3">
        <f t="shared" si="4"/>
        <v>1163.1632511024557</v>
      </c>
      <c r="P27" s="3">
        <f t="shared" si="4"/>
        <v>1344.0658819032549</v>
      </c>
      <c r="Q27" s="3">
        <f t="shared" si="4"/>
        <v>1520.1793857863222</v>
      </c>
      <c r="R27" s="3">
        <f t="shared" si="4"/>
        <v>1691.1433178923889</v>
      </c>
      <c r="S27" s="3">
        <f t="shared" si="4"/>
        <v>1856.6736490315691</v>
      </c>
      <c r="T27" s="3">
        <f t="shared" si="4"/>
        <v>2016.5568746160493</v>
      </c>
      <c r="U27" s="3">
        <f t="shared" si="4"/>
        <v>2170.6446376733766</v>
      </c>
      <c r="V27" s="3">
        <f t="shared" si="4"/>
        <v>2318.8481759019305</v>
      </c>
      <c r="W27" s="3">
        <f t="shared" si="4"/>
        <v>2461.1324699171919</v>
      </c>
      <c r="X27" s="3">
        <f t="shared" si="4"/>
        <v>2597.5101777463133</v>
      </c>
      <c r="Y27" s="3">
        <f t="shared" si="4"/>
        <v>2728.0355078882762</v>
      </c>
      <c r="Z27" s="3">
        <f t="shared" si="4"/>
        <v>2852.7981904393068</v>
      </c>
      <c r="AA27" s="3">
        <f t="shared" si="4"/>
        <v>2971.9176866849025</v>
      </c>
      <c r="AB27" s="3">
        <f t="shared" si="4"/>
        <v>3085.5377480410252</v>
      </c>
      <c r="AC27" s="3">
        <f t="shared" si="4"/>
        <v>3193.8214033427621</v>
      </c>
    </row>
    <row r="28" spans="1:30" x14ac:dyDescent="0.2">
      <c r="B28" s="84"/>
      <c r="C28" s="84"/>
      <c r="H28" t="s">
        <v>94</v>
      </c>
      <c r="I28" s="84">
        <f t="shared" ref="I28:AC28" si="5">$B$2/(SQRT(3)*IMABS(I50))</f>
        <v>1.7546728330417904</v>
      </c>
      <c r="J28" s="84">
        <f t="shared" si="5"/>
        <v>1.7776920593675498</v>
      </c>
      <c r="K28" s="84">
        <f t="shared" si="5"/>
        <v>1.8489268637954701</v>
      </c>
      <c r="L28" s="84">
        <f t="shared" si="5"/>
        <v>1.9620475033234421</v>
      </c>
      <c r="M28" s="86">
        <f t="shared" si="5"/>
        <v>2.1089626100734797</v>
      </c>
      <c r="N28" s="86">
        <f t="shared" si="5"/>
        <v>2.2815984314826916</v>
      </c>
      <c r="O28" s="86">
        <f t="shared" si="5"/>
        <v>2.4728992252077555</v>
      </c>
      <c r="P28" s="86">
        <f t="shared" si="5"/>
        <v>2.6771316331609705</v>
      </c>
      <c r="Q28" s="86">
        <f t="shared" si="5"/>
        <v>2.8898071045313904</v>
      </c>
      <c r="R28" s="86">
        <f t="shared" si="5"/>
        <v>3.1074680252436746</v>
      </c>
      <c r="S28" s="86">
        <f t="shared" si="5"/>
        <v>3.3274627344549415</v>
      </c>
      <c r="T28" s="86">
        <f t="shared" si="5"/>
        <v>3.5477550594189498</v>
      </c>
      <c r="U28" s="86">
        <f t="shared" si="5"/>
        <v>3.7667765532699944</v>
      </c>
      <c r="V28" s="86">
        <f t="shared" si="5"/>
        <v>3.9833160740245264</v>
      </c>
      <c r="W28" s="86">
        <f t="shared" si="5"/>
        <v>4.1964383183922163</v>
      </c>
      <c r="X28" s="86">
        <f t="shared" si="5"/>
        <v>4.4054236612393547</v>
      </c>
      <c r="Y28" s="86">
        <f t="shared" si="5"/>
        <v>4.6097233228707566</v>
      </c>
      <c r="Z28" s="86">
        <f t="shared" si="5"/>
        <v>4.8089254897903224</v>
      </c>
      <c r="AA28" s="86">
        <f t="shared" si="5"/>
        <v>5.0027292847899814</v>
      </c>
      <c r="AB28" s="86">
        <f t="shared" si="5"/>
        <v>5.1909244131108325</v>
      </c>
      <c r="AC28" s="84">
        <f t="shared" si="5"/>
        <v>5.3733749689742716</v>
      </c>
    </row>
    <row r="29" spans="1:30" x14ac:dyDescent="0.2">
      <c r="B29" s="84"/>
      <c r="C29" s="84"/>
      <c r="H29" t="s">
        <v>90</v>
      </c>
      <c r="I29" s="3">
        <f t="shared" ref="I29:AC29" si="6">I28*I28*IMAGINARY(I50)*3</f>
        <v>-1154.8862275641591</v>
      </c>
      <c r="J29" s="3">
        <f t="shared" si="6"/>
        <v>-1146.2926532570123</v>
      </c>
      <c r="K29" s="3">
        <f t="shared" si="6"/>
        <v>-1124.8373439528141</v>
      </c>
      <c r="L29" s="3">
        <f t="shared" si="6"/>
        <v>-1090.8431782445332</v>
      </c>
      <c r="M29" s="87">
        <f t="shared" si="6"/>
        <v>-1044.7411731630937</v>
      </c>
      <c r="N29" s="87">
        <f t="shared" si="6"/>
        <v>-987.05999251616731</v>
      </c>
      <c r="O29" s="87">
        <f t="shared" si="6"/>
        <v>-918.41373094762855</v>
      </c>
      <c r="P29" s="87">
        <f t="shared" si="6"/>
        <v>-839.48845996338946</v>
      </c>
      <c r="Q29" s="87">
        <f t="shared" si="6"/>
        <v>-751.02803778560815</v>
      </c>
      <c r="R29" s="87">
        <f t="shared" si="6"/>
        <v>-653.81967293490402</v>
      </c>
      <c r="S29" s="87">
        <f t="shared" si="6"/>
        <v>-548.67969549282236</v>
      </c>
      <c r="T29" s="87">
        <f t="shared" si="6"/>
        <v>-436.4399350851707</v>
      </c>
      <c r="U29" s="87">
        <f t="shared" si="6"/>
        <v>-317.93503654379805</v>
      </c>
      <c r="V29" s="87">
        <f t="shared" si="6"/>
        <v>-193.99096888926334</v>
      </c>
      <c r="W29" s="87">
        <f t="shared" si="6"/>
        <v>-65.414906270329524</v>
      </c>
      <c r="X29" s="87">
        <f t="shared" si="6"/>
        <v>67.013414459132434</v>
      </c>
      <c r="Y29" s="87">
        <f t="shared" si="6"/>
        <v>202.54882205502889</v>
      </c>
      <c r="Z29" s="87">
        <f t="shared" si="6"/>
        <v>340.4863455341125</v>
      </c>
      <c r="AA29" s="87">
        <f t="shared" si="6"/>
        <v>480.16542278545103</v>
      </c>
      <c r="AB29" s="87">
        <f t="shared" si="6"/>
        <v>620.97278676037422</v>
      </c>
      <c r="AC29" s="3">
        <f t="shared" si="6"/>
        <v>762.34415801231034</v>
      </c>
    </row>
    <row r="33" spans="1:31" x14ac:dyDescent="0.2">
      <c r="A33" s="54" t="s">
        <v>72</v>
      </c>
      <c r="B33" s="55"/>
      <c r="E33" s="53" t="s">
        <v>80</v>
      </c>
      <c r="F33" s="53" t="s">
        <v>81</v>
      </c>
      <c r="G33" s="53" t="s">
        <v>82</v>
      </c>
    </row>
    <row r="34" spans="1:31" x14ac:dyDescent="0.2">
      <c r="A34" t="s">
        <v>73</v>
      </c>
      <c r="B34" s="52" t="str">
        <f>COMPLEX((1/B23),($B$20*0.000000001*2*PI()*50/2))</f>
        <v>0,0208333333333333+0,000223053078404875i</v>
      </c>
      <c r="E34" s="53">
        <f>IMABS(B34)</f>
        <v>2.0834527363335176E-2</v>
      </c>
      <c r="F34" s="53">
        <f>IMARGUMENT(B34)</f>
        <v>1.0706138693789743E-2</v>
      </c>
      <c r="G34">
        <f>COS(F34)</f>
        <v>0.99994268984455204</v>
      </c>
      <c r="H34" s="82" t="s">
        <v>73</v>
      </c>
      <c r="I34" s="91" t="str">
        <f>COMPLEX((1/I23),($B$20*0.000000001*2*PI()*50/2))</f>
        <v>0,000000000001+0,000223053078404875i</v>
      </c>
      <c r="J34" s="91" t="str">
        <f t="shared" ref="J34:AC34" si="7">COMPLEX((1/J23),($B$20*0.000000001*2*PI()*50/2))</f>
        <v>0,00138504155124654+0,000223053078404875i</v>
      </c>
      <c r="K34" s="91" t="str">
        <f>COMPLEX((1/K23),($B$20*0.000000001*2*PI()*50/2))</f>
        <v>0,00277008310249307+0,000223053078404875i</v>
      </c>
      <c r="L34" s="91" t="str">
        <f t="shared" si="7"/>
        <v>0,00415512465373961+0,000223053078404875i</v>
      </c>
      <c r="M34" s="91" t="str">
        <f t="shared" si="7"/>
        <v>0,00554016620498615+0,000223053078404875i</v>
      </c>
      <c r="N34" s="91" t="str">
        <f t="shared" si="7"/>
        <v>0,00692520775623269+0,000223053078404875i</v>
      </c>
      <c r="O34" s="91" t="str">
        <f t="shared" si="7"/>
        <v>0,00831024930747922+0,000223053078404875i</v>
      </c>
      <c r="P34" s="91" t="str">
        <f t="shared" si="7"/>
        <v>0,00969529085872576+0,000223053078404875i</v>
      </c>
      <c r="Q34" s="91" t="str">
        <f t="shared" si="7"/>
        <v>0,0110803324099723+0,000223053078404875i</v>
      </c>
      <c r="R34" s="91" t="str">
        <f t="shared" si="7"/>
        <v>0,0124653739612188+0,000223053078404875i</v>
      </c>
      <c r="S34" s="91" t="str">
        <f t="shared" si="7"/>
        <v>0,0138504155124654+0,000223053078404875i</v>
      </c>
      <c r="T34" s="91" t="str">
        <f t="shared" si="7"/>
        <v>0,0152354570637119+0,000223053078404875i</v>
      </c>
      <c r="U34" s="91" t="str">
        <f t="shared" si="7"/>
        <v>0,0166204986149584+0,000223053078404875i</v>
      </c>
      <c r="V34" s="91" t="str">
        <f t="shared" si="7"/>
        <v>0,018005540166205+0,000223053078404875i</v>
      </c>
      <c r="W34" s="91" t="str">
        <f t="shared" si="7"/>
        <v>0,0193905817174515+0,000223053078404875i</v>
      </c>
      <c r="X34" s="91" t="str">
        <f t="shared" si="7"/>
        <v>0,0207756232686981+0,000223053078404875i</v>
      </c>
      <c r="Y34" s="91" t="str">
        <f t="shared" si="7"/>
        <v>0,0221606648199446+0,000223053078404875i</v>
      </c>
      <c r="Z34" s="91" t="str">
        <f t="shared" si="7"/>
        <v>0,0235457063711911+0,000223053078404875i</v>
      </c>
      <c r="AA34" s="91" t="str">
        <f t="shared" si="7"/>
        <v>0,0249307479224377+0,000223053078404875i</v>
      </c>
      <c r="AB34" s="91" t="str">
        <f t="shared" si="7"/>
        <v>0,0263157894736842+0,000223053078404875i</v>
      </c>
      <c r="AC34" s="91" t="str">
        <f t="shared" si="7"/>
        <v>0,0277008310249307+0,000223053078404875i</v>
      </c>
    </row>
    <row r="35" spans="1:31" x14ac:dyDescent="0.2">
      <c r="A35" t="s">
        <v>75</v>
      </c>
      <c r="B35" s="52" t="str">
        <f>IMDIV(1,B34)</f>
        <v>47,9944983827309-0,513855389316765i</v>
      </c>
      <c r="E35" s="53">
        <f t="shared" ref="E35:E39" si="8">IMABS(B35)</f>
        <v>47.997249112538618</v>
      </c>
      <c r="F35" s="53">
        <f t="shared" ref="F35:F39" si="9">IMARGUMENT(B35)</f>
        <v>-1.070613869378974E-2</v>
      </c>
      <c r="G35">
        <f t="shared" ref="G35:G39" si="10">COS(F35)</f>
        <v>0.99994268984455204</v>
      </c>
      <c r="H35" s="82" t="s">
        <v>75</v>
      </c>
      <c r="I35" s="91" t="str">
        <f>IMDIV(1,I34)</f>
        <v>0,000020099421472394-4483,23783357452i</v>
      </c>
      <c r="J35" s="91" t="str">
        <f t="shared" ref="J35:AC35" si="11">IMDIV(1,J34)</f>
        <v>703,748100301229-113,334636099903i</v>
      </c>
      <c r="K35" s="91" t="str">
        <f t="shared" si="11"/>
        <v>358,674420172961-28,8812395168433i</v>
      </c>
      <c r="L35" s="91" t="str">
        <f t="shared" si="11"/>
        <v>239,975131028992-12,8822108064689i</v>
      </c>
      <c r="M35" s="91" t="str">
        <f t="shared" si="11"/>
        <v>180,207891187072-7,25536444122394i</v>
      </c>
      <c r="N35" s="91" t="str">
        <f t="shared" si="11"/>
        <v>144,250353103604-4,64614008031618i</v>
      </c>
      <c r="O35" s="91" t="str">
        <f t="shared" si="11"/>
        <v>120,246704688473-3,22750818373963i</v>
      </c>
      <c r="P35" s="91" t="str">
        <f t="shared" si="11"/>
        <v>103,088293405722-2,37168348291032i</v>
      </c>
      <c r="Q35" s="91" t="str">
        <f t="shared" si="11"/>
        <v>90,213442026197-1,81604533265923i</v>
      </c>
      <c r="R35" s="91" t="str">
        <f t="shared" si="11"/>
        <v>80,1965442057367-1,4350220152379i</v>
      </c>
      <c r="S35" s="91" t="str">
        <f t="shared" si="11"/>
        <v>72,1812795874745-1,16243852761665i</v>
      </c>
      <c r="T35" s="91" t="str">
        <f t="shared" si="11"/>
        <v>65,6222980804049-0,960736231123642i</v>
      </c>
      <c r="U35" s="91" t="str">
        <f t="shared" si="11"/>
        <v>60,1558322362336-0,807312937785333i</v>
      </c>
      <c r="V35" s="91" t="str">
        <f t="shared" si="11"/>
        <v>55,5299397384989-0,687906271512874i</v>
      </c>
      <c r="W35" s="91" t="str">
        <f t="shared" si="11"/>
        <v>51,5646053971345-0,593156210481917i</v>
      </c>
      <c r="X35" s="91" t="str">
        <f t="shared" si="11"/>
        <v>48,1277857453207-0,5167137769329i</v>
      </c>
      <c r="Y35" s="91" t="str">
        <f t="shared" si="11"/>
        <v>45,1204288645368-0,454149306392888i</v>
      </c>
      <c r="Z35" s="91" t="str">
        <f t="shared" si="11"/>
        <v>42,4667772058958-0,402296080498938i</v>
      </c>
      <c r="AA35" s="91" t="str">
        <f t="shared" si="11"/>
        <v>40,1079005883176-0,358841648971524i</v>
      </c>
      <c r="AB35" s="91" t="str">
        <f t="shared" si="11"/>
        <v>37,9972701672933-0,322065507108267i</v>
      </c>
      <c r="AC35" s="91" t="str">
        <f t="shared" si="11"/>
        <v>36,0976594932898-0,290666156042133i</v>
      </c>
    </row>
    <row r="36" spans="1:31" x14ac:dyDescent="0.2">
      <c r="A36" t="s">
        <v>74</v>
      </c>
      <c r="B36" s="52" t="str">
        <f>IMSUM(COMPLEX($B$18*0.001,$B$19*2*PI()*50*0.001),B35)</f>
        <v>49,3744983827309+24,6188858394015i</v>
      </c>
      <c r="E36" s="53">
        <f t="shared" si="8"/>
        <v>55.171828232529869</v>
      </c>
      <c r="F36" s="53">
        <f t="shared" si="9"/>
        <v>0.46253932502072315</v>
      </c>
      <c r="G36">
        <f t="shared" si="10"/>
        <v>0.89492228125257589</v>
      </c>
      <c r="H36" s="82" t="s">
        <v>74</v>
      </c>
      <c r="I36" s="91" t="str">
        <f>IMSUM(COMPLEX($B$18*0.001,$B$19*2*PI()*50*0.001),I35)</f>
        <v>1,38002009942147-4458,1050923458i</v>
      </c>
      <c r="J36" s="91" t="str">
        <f t="shared" ref="J36:AC36" si="12">IMSUM(COMPLEX($B$18*0.001,$B$19*2*PI()*50*0.001),J35)</f>
        <v>705,128100301229-88,2018948711847i</v>
      </c>
      <c r="K36" s="91" t="str">
        <f t="shared" si="12"/>
        <v>360,054420172961-3,748498288125i</v>
      </c>
      <c r="L36" s="91" t="str">
        <f t="shared" si="12"/>
        <v>241,355131028992+12,2505304222494i</v>
      </c>
      <c r="M36" s="91" t="str">
        <f t="shared" si="12"/>
        <v>181,587891187072+17,8773767874944i</v>
      </c>
      <c r="N36" s="91" t="str">
        <f t="shared" si="12"/>
        <v>145,630353103604+20,4866011484021i</v>
      </c>
      <c r="O36" s="91" t="str">
        <f t="shared" si="12"/>
        <v>121,626704688473+21,9052330449787i</v>
      </c>
      <c r="P36" s="91" t="str">
        <f t="shared" si="12"/>
        <v>104,468293405722+22,761057745808i</v>
      </c>
      <c r="Q36" s="91" t="str">
        <f t="shared" si="12"/>
        <v>91,593442026197+23,3166958960591i</v>
      </c>
      <c r="R36" s="91" t="str">
        <f t="shared" si="12"/>
        <v>81,5765442057367+23,6977192134804i</v>
      </c>
      <c r="S36" s="91" t="str">
        <f t="shared" si="12"/>
        <v>73,5612795874745+23,9703027011016i</v>
      </c>
      <c r="T36" s="91" t="str">
        <f t="shared" si="12"/>
        <v>67,0022980804049+24,1720049975947i</v>
      </c>
      <c r="U36" s="91" t="str">
        <f t="shared" si="12"/>
        <v>61,5358322362336+24,325428290933i</v>
      </c>
      <c r="V36" s="91" t="str">
        <f t="shared" si="12"/>
        <v>56,9099397384989+24,4448349572054i</v>
      </c>
      <c r="W36" s="91" t="str">
        <f t="shared" si="12"/>
        <v>52,9446053971345+24,5395850182364i</v>
      </c>
      <c r="X36" s="91" t="str">
        <f t="shared" si="12"/>
        <v>49,5077857453207+24,6160274517854i</v>
      </c>
      <c r="Y36" s="91" t="str">
        <f t="shared" si="12"/>
        <v>46,5004288645368+24,6785919223254i</v>
      </c>
      <c r="Z36" s="91" t="str">
        <f t="shared" si="12"/>
        <v>43,8467772058958+24,7304451482194i</v>
      </c>
      <c r="AA36" s="91" t="str">
        <f t="shared" si="12"/>
        <v>41,4879005883176+24,7738995797468i</v>
      </c>
      <c r="AB36" s="91" t="str">
        <f t="shared" si="12"/>
        <v>39,3772701672933+24,81067572161i</v>
      </c>
      <c r="AC36" s="91" t="str">
        <f t="shared" si="12"/>
        <v>37,4776594932898+24,8420750726762i</v>
      </c>
    </row>
    <row r="37" spans="1:31" x14ac:dyDescent="0.2">
      <c r="A37" t="s">
        <v>76</v>
      </c>
      <c r="B37" s="52" t="str">
        <f>IMDIV(1,B36)</f>
        <v>0,0162206385019687-0,00808786034496377i</v>
      </c>
      <c r="E37" s="53">
        <f t="shared" si="8"/>
        <v>1.812519236783949E-2</v>
      </c>
      <c r="F37" s="53">
        <f t="shared" si="9"/>
        <v>-0.46253932502072226</v>
      </c>
      <c r="G37">
        <f t="shared" si="10"/>
        <v>0.89492228125257622</v>
      </c>
      <c r="H37" s="82" t="s">
        <v>76</v>
      </c>
      <c r="I37" s="91" t="str">
        <f>IMDIV(1,I36)</f>
        <v>6,94360114491197E-08+0,000224310527334545i</v>
      </c>
      <c r="J37" s="91" t="str">
        <f t="shared" ref="J37:AC37" si="13">IMDIV(1,J36)</f>
        <v>0,00139633415675342+0,00017466233220091i</v>
      </c>
      <c r="K37" s="91" t="str">
        <f t="shared" si="13"/>
        <v>0,00277705693483961+0,0000289117216260569i</v>
      </c>
      <c r="L37" s="91" t="str">
        <f t="shared" si="13"/>
        <v>0,00413262529102539-0,000209760826859664i</v>
      </c>
      <c r="M37" s="91" t="str">
        <f t="shared" si="13"/>
        <v>0,00545411139416649-0,000536958735503079i</v>
      </c>
      <c r="N37" s="91" t="str">
        <f t="shared" si="13"/>
        <v>0,00673344842791632-0,000947230226091122i</v>
      </c>
      <c r="O37" s="91" t="str">
        <f t="shared" si="13"/>
        <v>0,00796356607219694-0,00143425550439247i</v>
      </c>
      <c r="P37" s="91" t="str">
        <f t="shared" si="13"/>
        <v>0,00913848194831881-0,00199104923181712i</v>
      </c>
      <c r="Q37" s="91" t="str">
        <f t="shared" si="13"/>
        <v>0,0102533489204552-0,00261016742471652i</v>
      </c>
      <c r="R37" s="91" t="str">
        <f t="shared" si="13"/>
        <v>0,0113044608369806-0,00328390889051309i</v>
      </c>
      <c r="S37" s="91" t="str">
        <f t="shared" si="13"/>
        <v>0,0122892214266703-0,0040045029016639i</v>
      </c>
      <c r="T37" s="91" t="str">
        <f t="shared" si="13"/>
        <v>0,0132060825264064-0,00476427677814682i</v>
      </c>
      <c r="U37" s="91" t="str">
        <f t="shared" si="13"/>
        <v>0,0140544585920627-0,00555579915351828i</v>
      </c>
      <c r="V37" s="91" t="str">
        <f t="shared" si="13"/>
        <v>0,0148346245929283-0,00637199672838379i</v>
      </c>
      <c r="W37" s="91" t="str">
        <f t="shared" si="13"/>
        <v>0,0155476040253894-0,007206244110218i</v>
      </c>
      <c r="X37" s="91" t="str">
        <f t="shared" si="13"/>
        <v>0,0161950530432602-0,00805242780088771i</v>
      </c>
      <c r="Y37" s="91" t="str">
        <f t="shared" si="13"/>
        <v>0,016779145733382-0,00890498648013893i</v>
      </c>
      <c r="Z37" s="91" t="str">
        <f t="shared" si="13"/>
        <v>0,0173024644954242-0,00975893044826939i</v>
      </c>
      <c r="AA37" s="91" t="str">
        <f t="shared" si="13"/>
        <v>0,017767898419462-0,0106098434711069i</v>
      </c>
      <c r="AB37" s="91" t="str">
        <f t="shared" si="13"/>
        <v>0,0181785515704682-0,0114538703721029i</v>
      </c>
      <c r="AC37" s="91" t="str">
        <f t="shared" si="13"/>
        <v>0,0185376622337251-0,0122876936048946i</v>
      </c>
    </row>
    <row r="38" spans="1:31" x14ac:dyDescent="0.2">
      <c r="A38" t="s">
        <v>77</v>
      </c>
      <c r="B38" s="52" t="str">
        <f>IMSUM(COMPLEX(0,($B$20*0.000000001*2*PI()*50/2)),B37)</f>
        <v>0,0162206385019687-0,00786480726655889i</v>
      </c>
      <c r="E38" s="53">
        <f t="shared" si="8"/>
        <v>1.8026766397545257E-2</v>
      </c>
      <c r="F38" s="53">
        <f t="shared" si="9"/>
        <v>-0.45146583324936412</v>
      </c>
      <c r="G38">
        <f t="shared" si="10"/>
        <v>0.89980854825841072</v>
      </c>
      <c r="H38" s="82" t="s">
        <v>77</v>
      </c>
      <c r="I38" s="91" t="str">
        <f>IMSUM(COMPLEX(0,($B$20*0.000000001*2*PI()*50/2)),I37)</f>
        <v>6,94360114491197E-08+0,00044736360573942i</v>
      </c>
      <c r="J38" s="91" t="str">
        <f t="shared" ref="J38:AC38" si="14">IMSUM(COMPLEX(0,($B$20*0.000000001*2*PI()*50/2)),J37)</f>
        <v>0,00139633415675342+0,000397715410605785i</v>
      </c>
      <c r="K38" s="91" t="str">
        <f t="shared" si="14"/>
        <v>0,00277705693483961+0,000251964800030932i</v>
      </c>
      <c r="L38" s="91" t="str">
        <f t="shared" si="14"/>
        <v>0,00413262529102539+0,000013292251545211i</v>
      </c>
      <c r="M38" s="91" t="str">
        <f t="shared" si="14"/>
        <v>0,00545411139416649-0,000313905657098204i</v>
      </c>
      <c r="N38" s="91" t="str">
        <f t="shared" si="14"/>
        <v>0,00673344842791632-0,000724177147686247i</v>
      </c>
      <c r="O38" s="91" t="str">
        <f t="shared" si="14"/>
        <v>0,00796356607219694-0,0012112024259876i</v>
      </c>
      <c r="P38" s="91" t="str">
        <f t="shared" si="14"/>
        <v>0,00913848194831881-0,00176799615341225i</v>
      </c>
      <c r="Q38" s="91" t="str">
        <f t="shared" si="14"/>
        <v>0,0102533489204552-0,00238711434631164i</v>
      </c>
      <c r="R38" s="91" t="str">
        <f t="shared" si="14"/>
        <v>0,0113044608369806-0,00306085581210821i</v>
      </c>
      <c r="S38" s="91" t="str">
        <f t="shared" si="14"/>
        <v>0,0122892214266703-0,00378144982325902i</v>
      </c>
      <c r="T38" s="91" t="str">
        <f t="shared" si="14"/>
        <v>0,0132060825264064-0,00454122369974195i</v>
      </c>
      <c r="U38" s="91" t="str">
        <f t="shared" si="14"/>
        <v>0,0140544585920627-0,0053327460751134i</v>
      </c>
      <c r="V38" s="91" t="str">
        <f t="shared" si="14"/>
        <v>0,0148346245929283-0,00614894364997891i</v>
      </c>
      <c r="W38" s="91" t="str">
        <f t="shared" si="14"/>
        <v>0,0155476040253894-0,00698319103181312i</v>
      </c>
      <c r="X38" s="91" t="str">
        <f t="shared" si="14"/>
        <v>0,0161950530432602-0,00782937472248283i</v>
      </c>
      <c r="Y38" s="91" t="str">
        <f t="shared" si="14"/>
        <v>0,016779145733382-0,00868193340173406i</v>
      </c>
      <c r="Z38" s="91" t="str">
        <f t="shared" si="14"/>
        <v>0,0173024644954242-0,00953587736986451i</v>
      </c>
      <c r="AA38" s="91" t="str">
        <f t="shared" si="14"/>
        <v>0,017767898419462-0,010386790392702i</v>
      </c>
      <c r="AB38" s="91" t="str">
        <f t="shared" si="14"/>
        <v>0,0181785515704682-0,011230817293698i</v>
      </c>
      <c r="AC38" s="91" t="str">
        <f t="shared" si="14"/>
        <v>0,0185376622337251-0,0120646405264897i</v>
      </c>
    </row>
    <row r="39" spans="1:31" x14ac:dyDescent="0.2">
      <c r="A39" t="s">
        <v>78</v>
      </c>
      <c r="B39" s="52" t="str">
        <f>IMDIV(1,B38)</f>
        <v>49,9151388782039+24,2020649749976i</v>
      </c>
      <c r="E39" s="53">
        <f t="shared" si="8"/>
        <v>55.473065881420219</v>
      </c>
      <c r="F39" s="53">
        <f t="shared" si="9"/>
        <v>0.45146583324936418</v>
      </c>
      <c r="G39">
        <f t="shared" si="10"/>
        <v>0.89980854825841061</v>
      </c>
      <c r="H39" s="82" t="s">
        <v>78</v>
      </c>
      <c r="I39" s="91" t="str">
        <f>IMDIV(1,I38)</f>
        <v>0,346947254663604-2235,31812395988i</v>
      </c>
      <c r="J39" s="91" t="str">
        <f t="shared" ref="J39:AC39" si="15">IMDIV(1,J38)</f>
        <v>662,420664976568-188,676117024499i</v>
      </c>
      <c r="K39" s="91" t="str">
        <f t="shared" si="15"/>
        <v>357,153326696156-32,4048331211389i</v>
      </c>
      <c r="L39" s="91" t="str">
        <f t="shared" si="15"/>
        <v>241,974431345633-0,778290985137317i</v>
      </c>
      <c r="M39" s="91" t="str">
        <f t="shared" si="15"/>
        <v>182,742596712883+10,517558361999i</v>
      </c>
      <c r="N39" s="91" t="str">
        <f t="shared" si="15"/>
        <v>146,814137957484+15,7897464878879i</v>
      </c>
      <c r="O39" s="91" t="str">
        <f t="shared" si="15"/>
        <v>122,73279620743+18,6667956499633i</v>
      </c>
      <c r="P39" s="91" t="str">
        <f t="shared" si="15"/>
        <v>105,47932229012+20,4067849702073i</v>
      </c>
      <c r="Q39" s="91" t="str">
        <f t="shared" si="15"/>
        <v>92,514636125475+21,5386228296928i</v>
      </c>
      <c r="R39" s="91" t="str">
        <f t="shared" si="15"/>
        <v>82,4182544333512+22,3160039867516i</v>
      </c>
      <c r="S39" s="91" t="str">
        <f t="shared" si="15"/>
        <v>74,3340179939992+22,8729184255329i</v>
      </c>
      <c r="T39" s="91" t="str">
        <f t="shared" si="15"/>
        <v>67,71539915631+23,2855409521509i</v>
      </c>
      <c r="U39" s="91" t="str">
        <f t="shared" si="15"/>
        <v>62,1972305547268+23,5997733353429i</v>
      </c>
      <c r="V39" s="91" t="str">
        <f t="shared" si="15"/>
        <v>57,5262835673477+23,844612570577i</v>
      </c>
      <c r="W39" s="91" t="str">
        <f t="shared" si="15"/>
        <v>53,5214508196128+24,0391069108017i</v>
      </c>
      <c r="X39" s="91" t="str">
        <f t="shared" si="15"/>
        <v>50,0497883660393+24,1961879872793i</v>
      </c>
      <c r="Y39" s="91" t="str">
        <f t="shared" si="15"/>
        <v>47,0115093678529+24,3248851837959i</v>
      </c>
      <c r="Z39" s="91" t="str">
        <f t="shared" si="15"/>
        <v>44,3302573491088+24,4316581587225i</v>
      </c>
      <c r="AA39" s="91" t="str">
        <f t="shared" si="15"/>
        <v>41,9466126803372+24,5212271766078i</v>
      </c>
      <c r="AB39" s="91" t="str">
        <f t="shared" si="15"/>
        <v>39,8136445922482+24,5971064569393i</v>
      </c>
      <c r="AC39" s="91" t="str">
        <f t="shared" si="15"/>
        <v>37,8937946506821+24,6619560158654i</v>
      </c>
    </row>
    <row r="40" spans="1:31" x14ac:dyDescent="0.2">
      <c r="H40" s="82" t="s">
        <v>91</v>
      </c>
      <c r="I40" s="92">
        <f>IMREAL(I39)</f>
        <v>0.34694725466360399</v>
      </c>
      <c r="J40" s="92">
        <f t="shared" ref="J40:AE40" si="16">IMREAL(J39)</f>
        <v>662.42066497656799</v>
      </c>
      <c r="K40" s="92">
        <f t="shared" si="16"/>
        <v>357.153326696156</v>
      </c>
      <c r="L40" s="92">
        <f t="shared" si="16"/>
        <v>241.97443134563301</v>
      </c>
      <c r="M40" s="92">
        <f t="shared" si="16"/>
        <v>182.742596712883</v>
      </c>
      <c r="N40" s="92">
        <f t="shared" si="16"/>
        <v>146.81413795748401</v>
      </c>
      <c r="O40" s="92">
        <f t="shared" si="16"/>
        <v>122.73279620743</v>
      </c>
      <c r="P40" s="92">
        <f t="shared" si="16"/>
        <v>105.47932229012</v>
      </c>
      <c r="Q40" s="92">
        <f t="shared" si="16"/>
        <v>92.514636125474993</v>
      </c>
      <c r="R40" s="92">
        <f t="shared" si="16"/>
        <v>82.418254433351194</v>
      </c>
      <c r="S40" s="92">
        <f t="shared" si="16"/>
        <v>74.334017993999197</v>
      </c>
      <c r="T40" s="92">
        <f t="shared" si="16"/>
        <v>67.715399156309999</v>
      </c>
      <c r="U40" s="92">
        <f t="shared" si="16"/>
        <v>62.197230554726801</v>
      </c>
      <c r="V40" s="92">
        <f t="shared" si="16"/>
        <v>57.526283567347697</v>
      </c>
      <c r="W40" s="92">
        <f t="shared" si="16"/>
        <v>53.521450819612802</v>
      </c>
      <c r="X40" s="92">
        <f t="shared" si="16"/>
        <v>50.049788366039301</v>
      </c>
      <c r="Y40" s="92">
        <f t="shared" si="16"/>
        <v>47.011509367852902</v>
      </c>
      <c r="Z40" s="92">
        <f t="shared" si="16"/>
        <v>44.330257349108798</v>
      </c>
      <c r="AA40" s="92">
        <f t="shared" si="16"/>
        <v>41.946612680337203</v>
      </c>
      <c r="AB40" s="92">
        <f t="shared" si="16"/>
        <v>39.813644592248203</v>
      </c>
      <c r="AC40" s="92">
        <f t="shared" si="16"/>
        <v>37.893794650682104</v>
      </c>
      <c r="AD40">
        <f t="shared" si="16"/>
        <v>0</v>
      </c>
      <c r="AE40">
        <f t="shared" si="16"/>
        <v>0</v>
      </c>
    </row>
    <row r="41" spans="1:31" x14ac:dyDescent="0.2">
      <c r="A41" t="s">
        <v>102</v>
      </c>
      <c r="B41" s="93">
        <f>$B$2/(SQRT(3)*E39)</f>
        <v>3.9549482042516755</v>
      </c>
      <c r="C41" s="1" t="s">
        <v>37</v>
      </c>
      <c r="H41" s="82" t="s">
        <v>92</v>
      </c>
      <c r="I41" s="92">
        <f>IMAGINARY(I39)</f>
        <v>-2235.3181239598798</v>
      </c>
      <c r="J41" s="92">
        <f t="shared" ref="J41:AE41" si="17">IMAGINARY(J39)</f>
        <v>-188.67611702449901</v>
      </c>
      <c r="K41" s="92">
        <f t="shared" si="17"/>
        <v>-32.4048331211389</v>
      </c>
      <c r="L41" s="92">
        <f t="shared" si="17"/>
        <v>-0.77829098513731698</v>
      </c>
      <c r="M41" s="92">
        <f t="shared" si="17"/>
        <v>10.517558361999001</v>
      </c>
      <c r="N41" s="92">
        <f t="shared" si="17"/>
        <v>15.7897464878879</v>
      </c>
      <c r="O41" s="92">
        <f t="shared" si="17"/>
        <v>18.666795649963301</v>
      </c>
      <c r="P41" s="92">
        <f t="shared" si="17"/>
        <v>20.406784970207301</v>
      </c>
      <c r="Q41" s="92">
        <f t="shared" si="17"/>
        <v>21.538622829692802</v>
      </c>
      <c r="R41" s="92">
        <f t="shared" si="17"/>
        <v>22.3160039867516</v>
      </c>
      <c r="S41" s="92">
        <f t="shared" si="17"/>
        <v>22.872918425532902</v>
      </c>
      <c r="T41" s="92">
        <f t="shared" si="17"/>
        <v>23.2855409521509</v>
      </c>
      <c r="U41" s="92">
        <f t="shared" si="17"/>
        <v>23.599773335342899</v>
      </c>
      <c r="V41" s="92">
        <f t="shared" si="17"/>
        <v>23.844612570576999</v>
      </c>
      <c r="W41" s="92">
        <f t="shared" si="17"/>
        <v>24.039106910801699</v>
      </c>
      <c r="X41" s="92">
        <f t="shared" si="17"/>
        <v>24.196187987279298</v>
      </c>
      <c r="Y41" s="92">
        <f t="shared" si="17"/>
        <v>24.324885183795899</v>
      </c>
      <c r="Z41" s="92">
        <f t="shared" si="17"/>
        <v>24.431658158722499</v>
      </c>
      <c r="AA41" s="92">
        <f t="shared" si="17"/>
        <v>24.521227176607798</v>
      </c>
      <c r="AB41" s="92">
        <f t="shared" si="17"/>
        <v>24.597106456939301</v>
      </c>
      <c r="AC41" s="92">
        <f t="shared" si="17"/>
        <v>24.6619560158654</v>
      </c>
      <c r="AD41">
        <f t="shared" si="17"/>
        <v>0</v>
      </c>
      <c r="AE41">
        <f t="shared" si="17"/>
        <v>0</v>
      </c>
    </row>
    <row r="42" spans="1:31" x14ac:dyDescent="0.2">
      <c r="A42" t="s">
        <v>83</v>
      </c>
      <c r="B42" s="2">
        <f>SQRT(3)*$B$2*$B$41*SIN($F$39)</f>
        <v>1135.6781692911031</v>
      </c>
      <c r="C42" s="1" t="s">
        <v>84</v>
      </c>
      <c r="D42" t="s">
        <v>103</v>
      </c>
      <c r="E42" s="2">
        <f>SQRT(3)*$B$2*$B$41*COS($F$39)</f>
        <v>2342.2601996842786</v>
      </c>
      <c r="F42" t="s">
        <v>26</v>
      </c>
      <c r="G42" s="94">
        <f>SQRT(B42*B42+E42*E42)</f>
        <v>2603.065067805534</v>
      </c>
      <c r="H42" s="82" t="s">
        <v>79</v>
      </c>
      <c r="I42" s="92">
        <f>IMABS(I39)</f>
        <v>2235.3181508849952</v>
      </c>
      <c r="J42" s="92">
        <f t="shared" ref="J42:AC42" si="18">IMABS(J39)</f>
        <v>688.76687966498571</v>
      </c>
      <c r="K42" s="92">
        <f t="shared" si="18"/>
        <v>358.62037306843013</v>
      </c>
      <c r="L42" s="92">
        <f t="shared" si="18"/>
        <v>241.97568299707311</v>
      </c>
      <c r="M42" s="92">
        <f t="shared" si="18"/>
        <v>183.04501000372957</v>
      </c>
      <c r="N42" s="92">
        <f t="shared" si="18"/>
        <v>147.66078422638461</v>
      </c>
      <c r="O42" s="92">
        <f t="shared" si="18"/>
        <v>124.14422469342676</v>
      </c>
      <c r="P42" s="92">
        <f t="shared" si="18"/>
        <v>107.43520979457006</v>
      </c>
      <c r="Q42" s="92">
        <f t="shared" si="18"/>
        <v>94.988789711359118</v>
      </c>
      <c r="R42" s="92">
        <f t="shared" si="18"/>
        <v>85.386021676720176</v>
      </c>
      <c r="S42" s="92">
        <f t="shared" si="18"/>
        <v>77.773495668082703</v>
      </c>
      <c r="T42" s="92">
        <f t="shared" si="18"/>
        <v>71.607204248823209</v>
      </c>
      <c r="U42" s="92">
        <f t="shared" si="18"/>
        <v>66.524016641791874</v>
      </c>
      <c r="V42" s="92">
        <f t="shared" si="18"/>
        <v>62.272296004819161</v>
      </c>
      <c r="W42" s="92">
        <f t="shared" si="18"/>
        <v>58.67217704248911</v>
      </c>
      <c r="X42" s="92">
        <f t="shared" si="18"/>
        <v>55.591697479039823</v>
      </c>
      <c r="Y42" s="92">
        <f t="shared" si="18"/>
        <v>52.931862353865597</v>
      </c>
      <c r="Z42" s="92">
        <f t="shared" si="18"/>
        <v>50.616969852243095</v>
      </c>
      <c r="AA42" s="92">
        <f t="shared" si="18"/>
        <v>48.588155939498613</v>
      </c>
      <c r="AB42" s="92">
        <f t="shared" si="18"/>
        <v>46.798973725626283</v>
      </c>
      <c r="AC42" s="92">
        <f t="shared" si="18"/>
        <v>45.212296419851796</v>
      </c>
    </row>
    <row r="43" spans="1:31" x14ac:dyDescent="0.2">
      <c r="H43" s="8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</row>
    <row r="44" spans="1:31" x14ac:dyDescent="0.2">
      <c r="A44" s="54" t="s">
        <v>85</v>
      </c>
      <c r="B44" s="55"/>
      <c r="E44" s="53" t="s">
        <v>80</v>
      </c>
      <c r="F44" s="53" t="s">
        <v>81</v>
      </c>
      <c r="G44" s="53" t="s">
        <v>82</v>
      </c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</row>
    <row r="45" spans="1:31" x14ac:dyDescent="0.2">
      <c r="A45" t="s">
        <v>73</v>
      </c>
      <c r="B45" s="52" t="str">
        <f>COMPLEX((1/$C$23),($C$20*0.000000001*2*PI()*50/2))</f>
        <v>0,00869565217391304+0,0038484510006475i</v>
      </c>
      <c r="E45" s="53">
        <f>IMABS(B45)</f>
        <v>9.5092030073010494E-3</v>
      </c>
      <c r="F45" s="53">
        <f>IMARGUMENT(B45)</f>
        <v>0.41665954306479225</v>
      </c>
      <c r="G45">
        <f>COS(F45)</f>
        <v>0.91444594959605185</v>
      </c>
      <c r="H45" s="82" t="s">
        <v>73</v>
      </c>
      <c r="I45" s="91" t="str">
        <f>COMPLEX((1/I23),($C$20*0.000000001*2*PI()*50/2))</f>
        <v>0,000000000001+0,0038484510006475i</v>
      </c>
      <c r="J45" s="91" t="str">
        <f t="shared" ref="J45:AC45" si="19">COMPLEX((1/J23),($C$20*0.000000001*2*PI()*50/2))</f>
        <v>0,00138504155124654+0,0038484510006475i</v>
      </c>
      <c r="K45" s="91" t="str">
        <f t="shared" si="19"/>
        <v>0,00277008310249307+0,0038484510006475i</v>
      </c>
      <c r="L45" s="91" t="str">
        <f t="shared" si="19"/>
        <v>0,00415512465373961+0,0038484510006475i</v>
      </c>
      <c r="M45" s="91" t="str">
        <f t="shared" si="19"/>
        <v>0,00554016620498615+0,0038484510006475i</v>
      </c>
      <c r="N45" s="91" t="str">
        <f t="shared" si="19"/>
        <v>0,00692520775623269+0,0038484510006475i</v>
      </c>
      <c r="O45" s="91" t="str">
        <f t="shared" si="19"/>
        <v>0,00831024930747922+0,0038484510006475i</v>
      </c>
      <c r="P45" s="91" t="str">
        <f t="shared" si="19"/>
        <v>0,00969529085872576+0,0038484510006475i</v>
      </c>
      <c r="Q45" s="91" t="str">
        <f t="shared" si="19"/>
        <v>0,0110803324099723+0,0038484510006475i</v>
      </c>
      <c r="R45" s="91" t="str">
        <f t="shared" si="19"/>
        <v>0,0124653739612188+0,0038484510006475i</v>
      </c>
      <c r="S45" s="91" t="str">
        <f t="shared" si="19"/>
        <v>0,0138504155124654+0,0038484510006475i</v>
      </c>
      <c r="T45" s="91" t="str">
        <f t="shared" si="19"/>
        <v>0,0152354570637119+0,0038484510006475i</v>
      </c>
      <c r="U45" s="91" t="str">
        <f t="shared" si="19"/>
        <v>0,0166204986149584+0,0038484510006475i</v>
      </c>
      <c r="V45" s="91" t="str">
        <f t="shared" si="19"/>
        <v>0,018005540166205+0,0038484510006475i</v>
      </c>
      <c r="W45" s="91" t="str">
        <f t="shared" si="19"/>
        <v>0,0193905817174515+0,0038484510006475i</v>
      </c>
      <c r="X45" s="91" t="str">
        <f t="shared" si="19"/>
        <v>0,0207756232686981+0,0038484510006475i</v>
      </c>
      <c r="Y45" s="91" t="str">
        <f t="shared" si="19"/>
        <v>0,0221606648199446+0,0038484510006475i</v>
      </c>
      <c r="Z45" s="91" t="str">
        <f t="shared" si="19"/>
        <v>0,0235457063711911+0,0038484510006475i</v>
      </c>
      <c r="AA45" s="91" t="str">
        <f t="shared" si="19"/>
        <v>0,0249307479224377+0,0038484510006475i</v>
      </c>
      <c r="AB45" s="91" t="str">
        <f t="shared" si="19"/>
        <v>0,0263157894736842+0,0038484510006475i</v>
      </c>
      <c r="AC45" s="91" t="str">
        <f t="shared" si="19"/>
        <v>0,0277008310249307+0,0038484510006475i</v>
      </c>
    </row>
    <row r="46" spans="1:31" x14ac:dyDescent="0.2">
      <c r="A46" t="s">
        <v>75</v>
      </c>
      <c r="B46" s="52" t="str">
        <f>IMDIV(1,B45)</f>
        <v>96,1643103942519-42,5596182047836i</v>
      </c>
      <c r="E46" s="53">
        <f t="shared" ref="E46:E50" si="20">IMABS(B46)</f>
        <v>105.161284203546</v>
      </c>
      <c r="F46" s="53">
        <f t="shared" ref="F46:F50" si="21">IMARGUMENT(B46)</f>
        <v>-0.41665954306479225</v>
      </c>
      <c r="G46">
        <f t="shared" ref="G46:G50" si="22">COS(F46)</f>
        <v>0.91444594959605185</v>
      </c>
      <c r="H46" s="82" t="s">
        <v>75</v>
      </c>
      <c r="I46" s="91" t="str">
        <f>IMDIV(1,I45)</f>
        <v>6,7519322710429E-08-259,844805047992i</v>
      </c>
      <c r="J46" s="91" t="str">
        <f t="shared" ref="J46:AC46" si="23">IMDIV(1,J45)</f>
        <v>82,7932674912984-230,047851515357i</v>
      </c>
      <c r="K46" s="91" t="str">
        <f t="shared" si="23"/>
        <v>123,202768599103-171,164474333292i</v>
      </c>
      <c r="L46" s="91" t="str">
        <f t="shared" si="23"/>
        <v>129,541458030988-119,980504877516i</v>
      </c>
      <c r="M46" s="91" t="str">
        <f t="shared" si="23"/>
        <v>121,751146575701-84,573874597397i</v>
      </c>
      <c r="N46" s="91" t="str">
        <f t="shared" si="23"/>
        <v>110,328334016993-61,3112562674146i</v>
      </c>
      <c r="O46" s="91" t="str">
        <f t="shared" si="23"/>
        <v>99,0839178699388-45,8854588792484i</v>
      </c>
      <c r="P46" s="91" t="str">
        <f t="shared" si="23"/>
        <v>89,103562014594-35,368788558592i</v>
      </c>
      <c r="Q46" s="91" t="str">
        <f t="shared" si="23"/>
        <v>80,5348362729619-27,9715770045601i</v>
      </c>
      <c r="R46" s="91" t="str">
        <f t="shared" si="23"/>
        <v>73,2412333157783-22,6118605442307i</v>
      </c>
      <c r="S46" s="91" t="str">
        <f t="shared" si="23"/>
        <v>67,0253010226239-18,6235269661814i</v>
      </c>
      <c r="T46" s="91" t="str">
        <f t="shared" si="23"/>
        <v>61,6995662938569-15,5852073653024i</v>
      </c>
      <c r="U46" s="91" t="str">
        <f t="shared" si="23"/>
        <v>57,1049996267669-13,2225752094957i</v>
      </c>
      <c r="V46" s="91" t="str">
        <f t="shared" si="23"/>
        <v>53,1121129642067-11,3520262317509i</v>
      </c>
      <c r="W46" s="91" t="str">
        <f t="shared" si="23"/>
        <v>49,6169959058038-9,84749092756511i</v>
      </c>
      <c r="X46" s="91" t="str">
        <f t="shared" si="23"/>
        <v>46,5365073691435-8,62036560998167i</v>
      </c>
      <c r="Y46" s="91" t="str">
        <f t="shared" si="23"/>
        <v>43,8039489022075-7,60705296319868i</v>
      </c>
      <c r="Z46" s="91" t="str">
        <f t="shared" si="23"/>
        <v>41,365525284136-6,76102872695383i</v>
      </c>
      <c r="AA46" s="91" t="str">
        <f t="shared" si="23"/>
        <v>39,1775587571853-6,0476691542142i</v>
      </c>
      <c r="AB46" s="91" t="str">
        <f t="shared" si="23"/>
        <v>37,2043306812463-5,44080365826919i</v>
      </c>
      <c r="AC46" s="91" t="str">
        <f t="shared" si="23"/>
        <v>35,4164174704534-4,92037033585194i</v>
      </c>
    </row>
    <row r="47" spans="1:31" x14ac:dyDescent="0.2">
      <c r="A47" t="s">
        <v>74</v>
      </c>
      <c r="B47" s="52" t="str">
        <f>IMSUM(COMPLEX($C$18*0.001,$C$19*2*PI()*50*0.001),B46)</f>
        <v>97,2443103942519-23,7100622832448i</v>
      </c>
      <c r="E47" s="53">
        <f t="shared" si="20"/>
        <v>100.09307147614642</v>
      </c>
      <c r="F47" s="53">
        <f t="shared" si="21"/>
        <v>-0.2391533468514723</v>
      </c>
      <c r="G47">
        <f t="shared" si="22"/>
        <v>0.97153887836708641</v>
      </c>
      <c r="H47" s="82" t="s">
        <v>74</v>
      </c>
      <c r="I47" s="91" t="str">
        <f>IMSUM(COMPLEX($C$18*0.001,$C$19*2*PI()*50*0.001),I46)</f>
        <v>1,08000006751932-240,995249126453i</v>
      </c>
      <c r="J47" s="91" t="str">
        <f t="shared" ref="J47:AC47" si="24">IMSUM(COMPLEX($C$18*0.001,$C$19*2*PI()*50*0.001),J46)</f>
        <v>83,8732674912984-211,198295593818i</v>
      </c>
      <c r="K47" s="91" t="str">
        <f t="shared" si="24"/>
        <v>124,282768599103-152,314918411753i</v>
      </c>
      <c r="L47" s="91" t="str">
        <f t="shared" si="24"/>
        <v>130,621458030988-101,130948955977i</v>
      </c>
      <c r="M47" s="91" t="str">
        <f t="shared" si="24"/>
        <v>122,831146575701-65,7243186758582i</v>
      </c>
      <c r="N47" s="91" t="str">
        <f t="shared" si="24"/>
        <v>111,408334016993-42,4617003458758i</v>
      </c>
      <c r="O47" s="91" t="str">
        <f t="shared" si="24"/>
        <v>100,163917869939-27,0359029577096i</v>
      </c>
      <c r="P47" s="91" t="str">
        <f t="shared" si="24"/>
        <v>90,183562014594-16,5192326370532i</v>
      </c>
      <c r="Q47" s="91" t="str">
        <f t="shared" si="24"/>
        <v>81,6148362729619-9,1220210830213i</v>
      </c>
      <c r="R47" s="91" t="str">
        <f t="shared" si="24"/>
        <v>74,3212333157783-3,7623046226919i</v>
      </c>
      <c r="S47" s="91" t="str">
        <f t="shared" si="24"/>
        <v>68,1053010226239+0,2260289553574i</v>
      </c>
      <c r="T47" s="91" t="str">
        <f t="shared" si="24"/>
        <v>62,7795662938569+3,2643485562364i</v>
      </c>
      <c r="U47" s="91" t="str">
        <f t="shared" si="24"/>
        <v>58,1849996267669+5,6269807120431i</v>
      </c>
      <c r="V47" s="91" t="str">
        <f t="shared" si="24"/>
        <v>54,1921129642067+7,4975296897879i</v>
      </c>
      <c r="W47" s="91" t="str">
        <f t="shared" si="24"/>
        <v>50,6969959058038+9,00206499397369i</v>
      </c>
      <c r="X47" s="91" t="str">
        <f t="shared" si="24"/>
        <v>47,6165073691435+10,2291903115571i</v>
      </c>
      <c r="Y47" s="91" t="str">
        <f t="shared" si="24"/>
        <v>44,8839489022075+11,2425029583401i</v>
      </c>
      <c r="Z47" s="91" t="str">
        <f t="shared" si="24"/>
        <v>42,445525284136+12,088527194585i</v>
      </c>
      <c r="AA47" s="91" t="str">
        <f t="shared" si="24"/>
        <v>40,2575587571853+12,8018867673246i</v>
      </c>
      <c r="AB47" s="91" t="str">
        <f t="shared" si="24"/>
        <v>38,2843306812463+13,4087522632696i</v>
      </c>
      <c r="AC47" s="91" t="str">
        <f t="shared" si="24"/>
        <v>36,4964174704534+13,9291855856869i</v>
      </c>
    </row>
    <row r="48" spans="1:31" x14ac:dyDescent="0.2">
      <c r="A48" t="s">
        <v>76</v>
      </c>
      <c r="B48" s="52" t="str">
        <f>IMDIV(1,B47)</f>
        <v>0,00970635493585206+0,00236659892120471i</v>
      </c>
      <c r="E48" s="53">
        <f t="shared" si="20"/>
        <v>9.9907015066304002E-3</v>
      </c>
      <c r="F48" s="53">
        <f t="shared" si="21"/>
        <v>0.23915334685147188</v>
      </c>
      <c r="G48">
        <f t="shared" si="22"/>
        <v>0.97153887836708652</v>
      </c>
      <c r="H48" s="82" t="s">
        <v>76</v>
      </c>
      <c r="I48" s="91" t="str">
        <f>IMDIV(1,I47)</f>
        <v>0,0000185950820244654+0,00414937606004613i</v>
      </c>
      <c r="J48" s="91" t="str">
        <f t="shared" ref="J48:AC48" si="25">IMDIV(1,J47)</f>
        <v>0,00162420931114908+0,00408986377260053i</v>
      </c>
      <c r="K48" s="91" t="str">
        <f t="shared" si="25"/>
        <v>0,0032159249840737+0,0039412812981947i</v>
      </c>
      <c r="L48" s="91" t="str">
        <f t="shared" si="25"/>
        <v>0,0047865213102402+0,00370586463816505i</v>
      </c>
      <c r="M48" s="91" t="str">
        <f t="shared" si="25"/>
        <v>0,00632916105670415+0,00338659867499719i</v>
      </c>
      <c r="N48" s="91" t="str">
        <f t="shared" si="25"/>
        <v>0,00783748157085266+0,00298714451539244i</v>
      </c>
      <c r="O48" s="91" t="str">
        <f t="shared" si="25"/>
        <v>0,00930567072753089+0,00251175489234162i</v>
      </c>
      <c r="P48" s="91" t="str">
        <f t="shared" si="25"/>
        <v>0,0107285263121112+0,0019651809935588i</v>
      </c>
      <c r="Q48" s="91" t="str">
        <f t="shared" si="25"/>
        <v>0,0121014981443208+0,00135257419177361i</v>
      </c>
      <c r="R48" s="91" t="str">
        <f t="shared" si="25"/>
        <v>0,0134207130069009+0,000679386069538824i</v>
      </c>
      <c r="S48" s="91" t="str">
        <f t="shared" si="25"/>
        <v>0,0146829831241801-0,0000487301177332188i</v>
      </c>
      <c r="T48" s="91" t="str">
        <f t="shared" si="25"/>
        <v>0,0158857995044319-0,000826013777065987i</v>
      </c>
      <c r="U48" s="91" t="str">
        <f t="shared" si="25"/>
        <v>0,0170273118954451-0,00164668481959627i</v>
      </c>
      <c r="V48" s="91" t="str">
        <f t="shared" si="25"/>
        <v>0,0181062973969228-0,00250502323825648i</v>
      </c>
      <c r="W48" s="91" t="str">
        <f t="shared" si="25"/>
        <v>0,0191221199295603-0,00339543918437098i</v>
      </c>
      <c r="X48" s="91" t="str">
        <f t="shared" si="25"/>
        <v>0,0200746827915587-0,00431253281823152i</v>
      </c>
      <c r="Y48" s="91" t="str">
        <f t="shared" si="25"/>
        <v>0,0209643764580242-0,00525114367415878i</v>
      </c>
      <c r="Z48" s="91" t="str">
        <f t="shared" si="25"/>
        <v>0,0217920236199577-0,00620638968163166i</v>
      </c>
      <c r="AA48" s="91" t="str">
        <f t="shared" si="25"/>
        <v>0,0225588232412111-0,00717369631079605i</v>
      </c>
      <c r="AB48" s="91" t="str">
        <f t="shared" si="25"/>
        <v>0,023266295156765-0,00814881655992988i</v>
      </c>
      <c r="AC48" s="91" t="str">
        <f t="shared" si="25"/>
        <v>0,0239162264643336-0,00912784267663302i</v>
      </c>
    </row>
    <row r="49" spans="1:31" x14ac:dyDescent="0.2">
      <c r="A49" t="s">
        <v>77</v>
      </c>
      <c r="B49" s="52" t="str">
        <f>IMSUM(COMPLEX(0,($C$20*0.000000001*2*PI()*50/2)),B48)</f>
        <v>0,00970635493585206+0,00621504992185221i</v>
      </c>
      <c r="E49" s="53">
        <f t="shared" si="20"/>
        <v>1.1525631074776548E-2</v>
      </c>
      <c r="F49" s="53">
        <f t="shared" si="21"/>
        <v>0.56953116579506469</v>
      </c>
      <c r="G49">
        <f t="shared" si="22"/>
        <v>0.84215388058829055</v>
      </c>
      <c r="H49" s="82" t="s">
        <v>77</v>
      </c>
      <c r="I49" s="91" t="str">
        <f>IMSUM(COMPLEX(0,($C$20*0.000000001*2*PI()*50/2)),I48)</f>
        <v>0,0000185950820244654+0,00799782706069363i</v>
      </c>
      <c r="J49" s="91" t="str">
        <f t="shared" ref="J49:AC49" si="26">IMSUM(COMPLEX(0,($C$20*0.000000001*2*PI()*50/2)),J48)</f>
        <v>0,00162420931114908+0,00793831477324803i</v>
      </c>
      <c r="K49" s="91" t="str">
        <f t="shared" si="26"/>
        <v>0,0032159249840737+0,0077897322988422i</v>
      </c>
      <c r="L49" s="91" t="str">
        <f t="shared" si="26"/>
        <v>0,0047865213102402+0,00755431563881255i</v>
      </c>
      <c r="M49" s="91" t="str">
        <f t="shared" si="26"/>
        <v>0,00632916105670415+0,00723504967564469i</v>
      </c>
      <c r="N49" s="91" t="str">
        <f t="shared" si="26"/>
        <v>0,00783748157085266+0,00683559551603994i</v>
      </c>
      <c r="O49" s="91" t="str">
        <f t="shared" si="26"/>
        <v>0,00930567072753089+0,00636020589298912i</v>
      </c>
      <c r="P49" s="91" t="str">
        <f t="shared" si="26"/>
        <v>0,0107285263121112+0,0058136319942063i</v>
      </c>
      <c r="Q49" s="91" t="str">
        <f t="shared" si="26"/>
        <v>0,0121014981443208+0,00520102519242111i</v>
      </c>
      <c r="R49" s="91" t="str">
        <f t="shared" si="26"/>
        <v>0,0134207130069009+0,00452783707018632i</v>
      </c>
      <c r="S49" s="91" t="str">
        <f t="shared" si="26"/>
        <v>0,0146829831241801+0,00379972088291428i</v>
      </c>
      <c r="T49" s="91" t="str">
        <f t="shared" si="26"/>
        <v>0,0158857995044319+0,00302243722358151i</v>
      </c>
      <c r="U49" s="91" t="str">
        <f t="shared" si="26"/>
        <v>0,0170273118954451+0,00220176618105123i</v>
      </c>
      <c r="V49" s="91" t="str">
        <f t="shared" si="26"/>
        <v>0,0181062973969228+0,00134342776239102i</v>
      </c>
      <c r="W49" s="91" t="str">
        <f t="shared" si="26"/>
        <v>0,0191221199295603+0,00045301181627652i</v>
      </c>
      <c r="X49" s="91" t="str">
        <f t="shared" si="26"/>
        <v>0,0200746827915587-0,00046408181758402i</v>
      </c>
      <c r="Y49" s="91" t="str">
        <f t="shared" si="26"/>
        <v>0,0209643764580242-0,00140269267351128i</v>
      </c>
      <c r="Z49" s="91" t="str">
        <f t="shared" si="26"/>
        <v>0,0217920236199577-0,00235793868098416i</v>
      </c>
      <c r="AA49" s="91" t="str">
        <f t="shared" si="26"/>
        <v>0,0225588232412111-0,00332524531014855i</v>
      </c>
      <c r="AB49" s="91" t="str">
        <f t="shared" si="26"/>
        <v>0,023266295156765-0,00430036555928238i</v>
      </c>
      <c r="AC49" s="91" t="str">
        <f t="shared" si="26"/>
        <v>0,0239162264643336-0,00527939167598552i</v>
      </c>
    </row>
    <row r="50" spans="1:31" x14ac:dyDescent="0.2">
      <c r="A50" t="s">
        <v>78</v>
      </c>
      <c r="B50" s="52" t="str">
        <f>IMDIV(1,B49)</f>
        <v>73,0679192422978-46,785922086918i</v>
      </c>
      <c r="E50" s="53">
        <f t="shared" si="20"/>
        <v>86.763144986348422</v>
      </c>
      <c r="F50" s="53">
        <f t="shared" si="21"/>
        <v>-0.56953116579506446</v>
      </c>
      <c r="G50">
        <f t="shared" si="22"/>
        <v>0.84215388058829066</v>
      </c>
      <c r="H50" s="82" t="s">
        <v>78</v>
      </c>
      <c r="I50" s="91" t="str">
        <f>IMDIV(1,I49)</f>
        <v>0,290704485377412-125,033285508367i</v>
      </c>
      <c r="J50" s="91" t="str">
        <f t="shared" ref="J50:AC50" si="27">IMDIV(1,J49)</f>
        <v>24,7385858071548-120,909712704003i</v>
      </c>
      <c r="K50" s="91" t="str">
        <f t="shared" si="27"/>
        <v>45,2806219149232-109,680395155093i</v>
      </c>
      <c r="L50" s="91" t="str">
        <f t="shared" si="27"/>
        <v>59,8476221031082-94,454364306709i</v>
      </c>
      <c r="M50" s="91" t="str">
        <f t="shared" si="27"/>
        <v>68,49428324386-78,2978245184778i</v>
      </c>
      <c r="N50" s="91" t="str">
        <f t="shared" si="27"/>
        <v>72,4676289415331-63,2038997441494i</v>
      </c>
      <c r="O50" s="91" t="str">
        <f t="shared" si="27"/>
        <v>73,2454721539792-50,0615481966571i</v>
      </c>
      <c r="P50" s="91" t="str">
        <f t="shared" si="27"/>
        <v>72,0520858302273-39,0439748429417i</v>
      </c>
      <c r="Q50" s="91" t="str">
        <f t="shared" si="27"/>
        <v>69,750506909137-29,9776225465781i</v>
      </c>
      <c r="R50" s="91" t="str">
        <f t="shared" si="27"/>
        <v>66,8972385151378-22,569575572191i</v>
      </c>
      <c r="S50" s="91" t="str">
        <f t="shared" si="27"/>
        <v>63,8313217564488-16,5185238047832i</v>
      </c>
      <c r="T50" s="91" t="str">
        <f t="shared" si="27"/>
        <v>60,7502066206256-11,5583534702941i</v>
      </c>
      <c r="U50" s="91" t="str">
        <f t="shared" si="27"/>
        <v>57,7633420935516-7,46925726779555i</v>
      </c>
      <c r="V50" s="91" t="str">
        <f t="shared" si="27"/>
        <v>54,9270216135837-4,07540449179194i</v>
      </c>
      <c r="W50" s="91" t="str">
        <f t="shared" si="27"/>
        <v>52,26612324368-1,23820849924438i</v>
      </c>
      <c r="X50" s="91" t="str">
        <f t="shared" si="27"/>
        <v>49,7873796931641+1,15097298924519i</v>
      </c>
      <c r="Y50" s="91" t="str">
        <f t="shared" si="27"/>
        <v>47,4873756047064+3,17730384103576i</v>
      </c>
      <c r="Z50" s="91" t="str">
        <f t="shared" si="27"/>
        <v>45,3573218290393+4,90774906780991i</v>
      </c>
      <c r="AA50" s="91" t="str">
        <f t="shared" si="27"/>
        <v>43,3858764547474+6,39522197879006i</v>
      </c>
      <c r="AB50" s="91" t="str">
        <f t="shared" si="27"/>
        <v>41,5607868988493+7,6817806785417i</v>
      </c>
      <c r="AC50" s="91" t="str">
        <f t="shared" si="27"/>
        <v>39,869822285038+8,80107103052207i</v>
      </c>
    </row>
    <row r="51" spans="1:31" x14ac:dyDescent="0.2">
      <c r="H51" s="82" t="s">
        <v>91</v>
      </c>
      <c r="I51" s="92">
        <f>IMREAL(I50)</f>
        <v>0.290704485377412</v>
      </c>
      <c r="J51" s="92">
        <f t="shared" ref="J51:AC51" si="28">IMREAL(J50)</f>
        <v>24.738585807154799</v>
      </c>
      <c r="K51" s="92">
        <f t="shared" si="28"/>
        <v>45.280621914923202</v>
      </c>
      <c r="L51" s="92">
        <f t="shared" si="28"/>
        <v>59.847622103108201</v>
      </c>
      <c r="M51" s="92">
        <f t="shared" si="28"/>
        <v>68.494283243859996</v>
      </c>
      <c r="N51" s="92">
        <f t="shared" si="28"/>
        <v>72.467628941533107</v>
      </c>
      <c r="O51" s="92">
        <f t="shared" si="28"/>
        <v>73.245472153979193</v>
      </c>
      <c r="P51" s="92">
        <f t="shared" si="28"/>
        <v>72.052085830227298</v>
      </c>
      <c r="Q51" s="92">
        <f t="shared" si="28"/>
        <v>69.750506909137002</v>
      </c>
      <c r="R51" s="92">
        <f t="shared" si="28"/>
        <v>66.897238515137801</v>
      </c>
      <c r="S51" s="92">
        <f t="shared" si="28"/>
        <v>63.831321756448801</v>
      </c>
      <c r="T51" s="92">
        <f t="shared" si="28"/>
        <v>60.750206620625598</v>
      </c>
      <c r="U51" s="92">
        <f t="shared" si="28"/>
        <v>57.7633420935516</v>
      </c>
      <c r="V51" s="92">
        <f t="shared" si="28"/>
        <v>54.927021613583698</v>
      </c>
      <c r="W51" s="92">
        <f t="shared" si="28"/>
        <v>52.266123243679999</v>
      </c>
      <c r="X51" s="92">
        <f t="shared" si="28"/>
        <v>49.787379693164098</v>
      </c>
      <c r="Y51" s="92">
        <f t="shared" si="28"/>
        <v>47.487375604706401</v>
      </c>
      <c r="Z51" s="92">
        <f t="shared" si="28"/>
        <v>45.3573218290393</v>
      </c>
      <c r="AA51" s="92">
        <f t="shared" si="28"/>
        <v>43.385876454747397</v>
      </c>
      <c r="AB51" s="92">
        <f t="shared" si="28"/>
        <v>41.560786898849301</v>
      </c>
      <c r="AC51" s="92">
        <f t="shared" si="28"/>
        <v>39.869822285037998</v>
      </c>
      <c r="AD51">
        <f t="shared" ref="AD51" si="29">IMREAL(AD50)</f>
        <v>0</v>
      </c>
      <c r="AE51">
        <f t="shared" ref="AE51" si="30">IMREAL(AE50)</f>
        <v>0</v>
      </c>
    </row>
    <row r="52" spans="1:31" x14ac:dyDescent="0.2">
      <c r="A52" t="s">
        <v>102</v>
      </c>
      <c r="B52" s="95">
        <f>$B$2/(SQRT(3)*E50)</f>
        <v>2.5286439573689705</v>
      </c>
      <c r="C52" s="1" t="s">
        <v>37</v>
      </c>
      <c r="H52" s="82" t="s">
        <v>92</v>
      </c>
      <c r="I52" s="92">
        <f>IMAGINARY(I50)</f>
        <v>-125.033285508367</v>
      </c>
      <c r="J52" s="92">
        <f t="shared" ref="J52:AC52" si="31">IMAGINARY(J50)</f>
        <v>-120.909712704003</v>
      </c>
      <c r="K52" s="92">
        <f t="shared" si="31"/>
        <v>-109.680395155093</v>
      </c>
      <c r="L52" s="92">
        <f t="shared" si="31"/>
        <v>-94.454364306708996</v>
      </c>
      <c r="M52" s="92">
        <f t="shared" si="31"/>
        <v>-78.297824518477796</v>
      </c>
      <c r="N52" s="92">
        <f t="shared" si="31"/>
        <v>-63.203899744149403</v>
      </c>
      <c r="O52" s="92">
        <f t="shared" si="31"/>
        <v>-50.0615481966571</v>
      </c>
      <c r="P52" s="92">
        <f t="shared" si="31"/>
        <v>-39.043974842941701</v>
      </c>
      <c r="Q52" s="92">
        <f t="shared" si="31"/>
        <v>-29.9776225465781</v>
      </c>
      <c r="R52" s="92">
        <f t="shared" si="31"/>
        <v>-22.569575572190999</v>
      </c>
      <c r="S52" s="92">
        <f t="shared" si="31"/>
        <v>-16.5185238047832</v>
      </c>
      <c r="T52" s="92">
        <f t="shared" si="31"/>
        <v>-11.558353470294101</v>
      </c>
      <c r="U52" s="92">
        <f t="shared" si="31"/>
        <v>-7.46925726779555</v>
      </c>
      <c r="V52" s="92">
        <f t="shared" si="31"/>
        <v>-4.0754044917919403</v>
      </c>
      <c r="W52" s="92">
        <f t="shared" si="31"/>
        <v>-1.23820849924438</v>
      </c>
      <c r="X52" s="92">
        <f t="shared" si="31"/>
        <v>1.1509729892451901</v>
      </c>
      <c r="Y52" s="92">
        <f t="shared" si="31"/>
        <v>3.1773038410357599</v>
      </c>
      <c r="Z52" s="92">
        <f t="shared" si="31"/>
        <v>4.9077490678099096</v>
      </c>
      <c r="AA52" s="92">
        <f t="shared" si="31"/>
        <v>6.3952219787900599</v>
      </c>
      <c r="AB52" s="92">
        <f t="shared" si="31"/>
        <v>7.6817806785417</v>
      </c>
      <c r="AC52" s="92">
        <f t="shared" si="31"/>
        <v>8.8010710305220705</v>
      </c>
      <c r="AD52">
        <f t="shared" ref="AD52:AE52" si="32">IMAGINARY(AD50)</f>
        <v>0</v>
      </c>
      <c r="AE52">
        <f t="shared" si="32"/>
        <v>0</v>
      </c>
    </row>
    <row r="53" spans="1:31" x14ac:dyDescent="0.2">
      <c r="A53" t="s">
        <v>83</v>
      </c>
      <c r="B53" s="2">
        <f>SQRT(3)*$B$2*$B$52*SIN($F$50)</f>
        <v>-897.45320871545846</v>
      </c>
      <c r="C53" s="1" t="s">
        <v>84</v>
      </c>
      <c r="D53" t="s">
        <v>103</v>
      </c>
      <c r="E53" s="2">
        <f>SQRT(3)*$B$2*$B$52*COS($F$50)</f>
        <v>1401.5976527370372</v>
      </c>
      <c r="F53" t="s">
        <v>26</v>
      </c>
      <c r="G53" s="94">
        <f>SQRT(B53*B53+E53*E53)</f>
        <v>1664.301127197733</v>
      </c>
      <c r="H53" s="82" t="s">
        <v>79</v>
      </c>
      <c r="I53" s="92">
        <f>IMABS(I50)</f>
        <v>125.03362345431184</v>
      </c>
      <c r="J53" s="92">
        <f t="shared" ref="J53:AC53" si="33">IMABS(J50)</f>
        <v>123.41457067098077</v>
      </c>
      <c r="K53" s="92">
        <f t="shared" si="33"/>
        <v>118.65969746455437</v>
      </c>
      <c r="L53" s="92">
        <f t="shared" si="33"/>
        <v>111.81844574121456</v>
      </c>
      <c r="M53" s="92">
        <f t="shared" si="33"/>
        <v>104.02891983201816</v>
      </c>
      <c r="N53" s="92">
        <f t="shared" si="33"/>
        <v>96.157631976230661</v>
      </c>
      <c r="O53" s="92">
        <f t="shared" si="33"/>
        <v>88.71898217915691</v>
      </c>
      <c r="P53" s="92">
        <f t="shared" si="33"/>
        <v>81.950808684373015</v>
      </c>
      <c r="Q53" s="92">
        <f t="shared" si="33"/>
        <v>75.919635586761586</v>
      </c>
      <c r="R53" s="92">
        <f t="shared" si="33"/>
        <v>70.601885686290828</v>
      </c>
      <c r="S53" s="92">
        <f t="shared" si="33"/>
        <v>65.934052399837242</v>
      </c>
      <c r="T53" s="92">
        <f t="shared" si="33"/>
        <v>61.839980105049847</v>
      </c>
      <c r="U53" s="92">
        <f t="shared" si="33"/>
        <v>58.244257175700909</v>
      </c>
      <c r="V53" s="92">
        <f t="shared" si="33"/>
        <v>55.078004912222525</v>
      </c>
      <c r="W53" s="92">
        <f t="shared" si="33"/>
        <v>52.280788050785418</v>
      </c>
      <c r="X53" s="92">
        <f t="shared" si="33"/>
        <v>49.800681878195817</v>
      </c>
      <c r="Y53" s="92">
        <f t="shared" si="33"/>
        <v>47.593551049703414</v>
      </c>
      <c r="Z53" s="92">
        <f t="shared" si="33"/>
        <v>45.622063131950028</v>
      </c>
      <c r="AA53" s="92">
        <f t="shared" si="33"/>
        <v>43.854682075060175</v>
      </c>
      <c r="AB53" s="92">
        <f t="shared" si="33"/>
        <v>42.264746089912578</v>
      </c>
      <c r="AC53" s="92">
        <f t="shared" si="33"/>
        <v>40.829665444683819</v>
      </c>
    </row>
    <row r="54" spans="1:31" x14ac:dyDescent="0.2">
      <c r="B54" s="52"/>
    </row>
    <row r="55" spans="1:31" x14ac:dyDescent="0.2">
      <c r="H55" s="82" t="s">
        <v>95</v>
      </c>
      <c r="I55">
        <f>SQRT(2)/SQRT(B19*B20)</f>
        <v>4.1959067914834457E-3</v>
      </c>
      <c r="J55" t="s">
        <v>96</v>
      </c>
    </row>
  </sheetData>
  <pageMargins left="0.7" right="0.7" top="0.78740157499999996" bottom="0.78740157499999996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A0A21-B5FB-314A-88C6-3C03CA47C7C9}">
  <dimension ref="A1:BL72"/>
  <sheetViews>
    <sheetView zoomScale="150" zoomScaleNormal="150" workbookViewId="0">
      <selection activeCell="D8" sqref="D8"/>
    </sheetView>
  </sheetViews>
  <sheetFormatPr baseColWidth="10" defaultRowHeight="16" x14ac:dyDescent="0.2"/>
  <cols>
    <col min="1" max="1" width="16.33203125" style="4" customWidth="1"/>
    <col min="2" max="3" width="14.6640625" style="4" customWidth="1"/>
    <col min="4" max="4" width="17" style="4" customWidth="1"/>
    <col min="5" max="9" width="14.6640625" style="4" customWidth="1"/>
    <col min="10" max="10" width="46.33203125" style="4" customWidth="1"/>
    <col min="11" max="11" width="16.33203125" style="4" customWidth="1"/>
    <col min="12" max="12" width="14.6640625" style="4" customWidth="1"/>
    <col min="13" max="14" width="14.6640625" style="22" customWidth="1"/>
    <col min="15" max="64" width="14.6640625" style="4" customWidth="1"/>
    <col min="65" max="1024" width="14.6640625" style="37" customWidth="1"/>
    <col min="1025" max="16384" width="10.83203125" style="37"/>
  </cols>
  <sheetData>
    <row r="1" spans="1:21" x14ac:dyDescent="0.2">
      <c r="A1" s="4" t="s">
        <v>29</v>
      </c>
      <c r="B1" s="4" t="s">
        <v>3</v>
      </c>
      <c r="D1" s="39">
        <f>Kenngößen_380kV!B3*0.001</f>
        <v>1.3800000000000002E-2</v>
      </c>
      <c r="E1" s="4" t="s">
        <v>30</v>
      </c>
      <c r="F1" s="4" t="s">
        <v>31</v>
      </c>
      <c r="G1" s="4">
        <v>380</v>
      </c>
      <c r="H1" s="4" t="s">
        <v>25</v>
      </c>
      <c r="I1" s="4" t="s">
        <v>19</v>
      </c>
      <c r="J1" s="4">
        <f>D1*D4</f>
        <v>4.6014720000000002E-2</v>
      </c>
      <c r="K1" s="4" t="s">
        <v>22</v>
      </c>
      <c r="L1" s="5"/>
      <c r="M1" s="89"/>
      <c r="N1" s="89"/>
      <c r="O1" s="5"/>
      <c r="P1" s="5"/>
      <c r="Q1" s="5"/>
      <c r="R1" s="5"/>
      <c r="S1" s="5"/>
      <c r="T1" s="5"/>
      <c r="U1" s="5"/>
    </row>
    <row r="2" spans="1:21" x14ac:dyDescent="0.2">
      <c r="B2" s="4" t="s">
        <v>28</v>
      </c>
      <c r="D2" s="40">
        <f>Kenngößen_380kV!B11*0.001</f>
        <v>0.25132741228718347</v>
      </c>
      <c r="E2" s="4" t="s">
        <v>30</v>
      </c>
      <c r="I2" s="4" t="s">
        <v>32</v>
      </c>
      <c r="J2" s="4">
        <f>D2*D4</f>
        <v>0.83802612353038453</v>
      </c>
      <c r="K2" s="4" t="s">
        <v>22</v>
      </c>
      <c r="L2" s="5"/>
      <c r="M2" s="89"/>
      <c r="N2" s="89"/>
      <c r="O2" s="5"/>
      <c r="P2" s="5"/>
      <c r="Q2" s="5"/>
      <c r="R2" s="5"/>
      <c r="S2" s="5"/>
      <c r="T2" s="5"/>
      <c r="U2" s="5"/>
    </row>
    <row r="3" spans="1:21" ht="17" thickBot="1" x14ac:dyDescent="0.25">
      <c r="B3" s="4" t="s">
        <v>5</v>
      </c>
      <c r="D3" s="41">
        <f>Kenngößen_380kV!B5</f>
        <v>14.2</v>
      </c>
      <c r="E3" s="4" t="s">
        <v>13</v>
      </c>
      <c r="I3" s="4" t="s">
        <v>21</v>
      </c>
      <c r="J3" s="4">
        <f>D3*D4</f>
        <v>47.348479999999995</v>
      </c>
      <c r="K3" s="4" t="s">
        <v>10</v>
      </c>
      <c r="L3" s="5"/>
      <c r="M3" s="89"/>
      <c r="N3" s="89"/>
      <c r="O3" s="5"/>
      <c r="P3" s="5"/>
      <c r="Q3" s="5"/>
      <c r="R3" s="5"/>
      <c r="S3" s="5"/>
      <c r="T3" s="5"/>
      <c r="U3" s="5"/>
    </row>
    <row r="4" spans="1:21" ht="17" thickBot="1" x14ac:dyDescent="0.25">
      <c r="B4" s="4" t="s">
        <v>33</v>
      </c>
      <c r="D4" s="6">
        <f>1.6672*2</f>
        <v>3.3344</v>
      </c>
      <c r="E4" s="4" t="s">
        <v>7</v>
      </c>
      <c r="I4" s="4" t="s">
        <v>34</v>
      </c>
      <c r="J4" s="7">
        <f>-1/(J3*2*PI()*50/1000000000)</f>
        <v>-67227.054846067011</v>
      </c>
      <c r="K4" s="4" t="s">
        <v>22</v>
      </c>
      <c r="L4" s="5"/>
      <c r="M4" s="89"/>
      <c r="N4" s="89"/>
      <c r="O4" s="5"/>
      <c r="P4" s="5"/>
      <c r="Q4" s="5"/>
      <c r="R4" s="5"/>
      <c r="S4" s="5"/>
      <c r="T4" s="5"/>
      <c r="U4" s="5"/>
    </row>
    <row r="5" spans="1:21" x14ac:dyDescent="0.2">
      <c r="B5" s="4" t="s">
        <v>35</v>
      </c>
      <c r="D5" s="4">
        <f>Kenngößen_380kV!B23</f>
        <v>48</v>
      </c>
      <c r="E5" s="4" t="s">
        <v>22</v>
      </c>
      <c r="F5" s="8" t="s">
        <v>36</v>
      </c>
      <c r="G5" s="9">
        <f>G1/(SQRT(3)*D5)</f>
        <v>4.5706896310845373</v>
      </c>
      <c r="H5" s="10" t="s">
        <v>37</v>
      </c>
      <c r="I5" s="4" t="s">
        <v>38</v>
      </c>
      <c r="J5" s="4" t="str">
        <f>COMPLEX(0,J4)</f>
        <v>-67227,054846067i</v>
      </c>
      <c r="L5" s="5"/>
      <c r="M5" s="89"/>
      <c r="N5" s="89"/>
      <c r="O5" s="5"/>
      <c r="P5" s="5"/>
      <c r="Q5" s="5"/>
      <c r="R5" s="5"/>
      <c r="S5" s="5"/>
      <c r="T5" s="5"/>
      <c r="U5" s="5"/>
    </row>
    <row r="6" spans="1:21" ht="17" thickBot="1" x14ac:dyDescent="0.25">
      <c r="B6" s="4" t="s">
        <v>39</v>
      </c>
      <c r="D6" s="103">
        <f>1.5*2800/D7</f>
        <v>42</v>
      </c>
      <c r="E6" s="4" t="s">
        <v>40</v>
      </c>
      <c r="F6" s="11" t="s">
        <v>14</v>
      </c>
      <c r="G6" s="12">
        <f>G1*G1/D5</f>
        <v>3008.3333333333335</v>
      </c>
      <c r="H6" s="13" t="s">
        <v>15</v>
      </c>
      <c r="I6" s="4" t="s">
        <v>41</v>
      </c>
      <c r="J6" s="14">
        <f>-1/(2*PI()*50*D6*10^-6)</f>
        <v>-75.788068138997787</v>
      </c>
      <c r="K6" s="4" t="s">
        <v>22</v>
      </c>
      <c r="L6" s="5"/>
      <c r="M6" s="89"/>
      <c r="N6" s="89"/>
      <c r="O6" s="5"/>
      <c r="P6" s="5"/>
      <c r="Q6" s="5"/>
      <c r="R6" s="5"/>
      <c r="S6" s="5"/>
      <c r="T6" s="5"/>
      <c r="U6" s="5"/>
    </row>
    <row r="7" spans="1:21" ht="17" thickBot="1" x14ac:dyDescent="0.25">
      <c r="B7" s="4" t="s">
        <v>42</v>
      </c>
      <c r="D7" s="106">
        <v>100</v>
      </c>
      <c r="I7" s="15" t="s">
        <v>43</v>
      </c>
      <c r="J7" s="38">
        <f>SQRT(10^9*((D2+((J6*C11)/D4))/(2*PI()*50))/D3)</f>
        <v>237.35633163877065</v>
      </c>
      <c r="K7" s="16" t="s">
        <v>22</v>
      </c>
      <c r="L7" s="5"/>
      <c r="M7" s="89"/>
      <c r="N7" s="89"/>
      <c r="O7" s="5"/>
      <c r="P7" s="5"/>
      <c r="Q7" s="5"/>
      <c r="R7" s="5"/>
      <c r="S7" s="5"/>
      <c r="T7" s="5"/>
      <c r="U7" s="5"/>
    </row>
    <row r="8" spans="1:21" ht="17" thickBot="1" x14ac:dyDescent="0.25">
      <c r="B8" s="42" t="s">
        <v>60</v>
      </c>
      <c r="C8" s="42" t="s">
        <v>61</v>
      </c>
      <c r="D8" s="43">
        <f>J8*1000/50</f>
        <v>5933.908290969267</v>
      </c>
      <c r="E8" s="42" t="s">
        <v>7</v>
      </c>
      <c r="I8" s="42" t="s">
        <v>58</v>
      </c>
      <c r="J8" s="44">
        <f>(0.001)/SQRT(D3*(0.000000001)*D2/(2*PI()*50))</f>
        <v>296.69541454846336</v>
      </c>
      <c r="K8" s="42" t="s">
        <v>59</v>
      </c>
      <c r="L8" s="5"/>
      <c r="M8" s="89"/>
      <c r="N8" s="89"/>
      <c r="O8" s="5"/>
      <c r="P8" s="5"/>
      <c r="Q8" s="5"/>
      <c r="R8" s="5"/>
      <c r="S8" s="5"/>
      <c r="T8" s="5"/>
      <c r="U8" s="5"/>
    </row>
    <row r="9" spans="1:21" ht="17" thickBot="1" x14ac:dyDescent="0.25">
      <c r="A9" s="107" t="s">
        <v>44</v>
      </c>
      <c r="B9" s="107"/>
      <c r="C9" s="107"/>
      <c r="D9" s="107" t="s">
        <v>45</v>
      </c>
      <c r="E9" s="107"/>
      <c r="F9" s="107"/>
      <c r="G9" s="107"/>
      <c r="H9" s="107"/>
      <c r="I9" s="107" t="s">
        <v>46</v>
      </c>
      <c r="J9" s="107"/>
      <c r="K9" s="107"/>
      <c r="L9" s="5"/>
      <c r="N9" s="89" t="s">
        <v>97</v>
      </c>
      <c r="O9" s="5"/>
      <c r="P9" s="5"/>
      <c r="Q9" s="5"/>
      <c r="R9" s="5"/>
      <c r="S9" s="5"/>
      <c r="T9" s="5"/>
      <c r="U9" s="5"/>
    </row>
    <row r="10" spans="1:21" x14ac:dyDescent="0.2">
      <c r="A10" s="17" t="s">
        <v>47</v>
      </c>
      <c r="B10" s="18" t="s">
        <v>48</v>
      </c>
      <c r="C10" s="19" t="s">
        <v>49</v>
      </c>
      <c r="D10" s="17" t="s">
        <v>50</v>
      </c>
      <c r="E10" s="20" t="s">
        <v>51</v>
      </c>
      <c r="F10" s="20" t="s">
        <v>52</v>
      </c>
      <c r="G10" s="20" t="s">
        <v>53</v>
      </c>
      <c r="H10" s="19" t="s">
        <v>54</v>
      </c>
      <c r="I10" s="17" t="s">
        <v>55</v>
      </c>
      <c r="J10" s="20" t="s">
        <v>56</v>
      </c>
      <c r="K10" s="19" t="s">
        <v>57</v>
      </c>
      <c r="L10" s="5"/>
      <c r="M10" s="89"/>
      <c r="N10" s="89"/>
      <c r="O10" s="5"/>
      <c r="P10" s="5"/>
      <c r="Q10" s="5"/>
      <c r="R10" s="5"/>
      <c r="S10" s="5"/>
      <c r="T10" s="5"/>
      <c r="U10" s="5"/>
    </row>
    <row r="11" spans="1:21" x14ac:dyDescent="0.2">
      <c r="A11" s="21">
        <v>0</v>
      </c>
      <c r="B11" s="22">
        <v>0</v>
      </c>
      <c r="C11" s="23">
        <f t="shared" ref="C11:C71" si="0">IF(MOD(A11+$D$7,$D$7)+1=$D$7,1,0)</f>
        <v>0</v>
      </c>
      <c r="D11" s="21">
        <f>D5</f>
        <v>48</v>
      </c>
      <c r="E11" s="24"/>
      <c r="F11" s="22">
        <f t="shared" ref="F11:F71" si="1">SQRT(D11^2+E11^2)</f>
        <v>48</v>
      </c>
      <c r="G11" s="22">
        <f>F11/$D$5</f>
        <v>1</v>
      </c>
      <c r="H11" s="23">
        <f t="shared" ref="H11:H71" si="2">COS(ATAN(E11/D11))</f>
        <v>1</v>
      </c>
      <c r="I11" s="21" t="str">
        <f>COMPLEX(D11,E11)</f>
        <v>48</v>
      </c>
      <c r="J11" s="14" t="str">
        <f>IMDIV(IMPRODUCT($J$5,I11), IMSUM(I11,$J$5))</f>
        <v>47,999975529924-0,034271898876307i</v>
      </c>
      <c r="K11" s="25" t="str">
        <f>COMPLEX(J1,J2)</f>
        <v>0,04601472+0,838026123530385i</v>
      </c>
      <c r="L11" s="5"/>
      <c r="M11" s="90"/>
      <c r="N11" s="89"/>
      <c r="O11" s="5"/>
      <c r="P11" s="5"/>
      <c r="Q11" s="5"/>
      <c r="R11" s="5"/>
      <c r="S11" s="5"/>
      <c r="T11" s="5"/>
      <c r="U11" s="5"/>
    </row>
    <row r="12" spans="1:21" x14ac:dyDescent="0.2">
      <c r="A12" s="21">
        <v>1</v>
      </c>
      <c r="B12" s="104">
        <f t="shared" ref="B12:B71" si="3">A12*$D$4</f>
        <v>3.3344</v>
      </c>
      <c r="C12" s="23">
        <f t="shared" si="0"/>
        <v>0</v>
      </c>
      <c r="D12" s="26">
        <f>IMREAL(I12)</f>
        <v>48.045990249924003</v>
      </c>
      <c r="E12" s="27">
        <f>IMAGINARY(I12)</f>
        <v>0.80375422465407798</v>
      </c>
      <c r="F12" s="22">
        <f>SQRT(D12^2+E12^2)</f>
        <v>48.052712722066396</v>
      </c>
      <c r="G12" s="22">
        <f t="shared" ref="G12:G71" si="4">F12/$D$5</f>
        <v>1.0010981817097167</v>
      </c>
      <c r="H12" s="23">
        <f t="shared" si="2"/>
        <v>0.99986010213031518</v>
      </c>
      <c r="I12" s="28" t="str">
        <f>IMSUM(J11,K11)</f>
        <v>48,045990249924+0,803754224654078i</v>
      </c>
      <c r="J12" s="14" t="str">
        <f t="shared" ref="J12:J71" si="5">IMDIV(IMPRODUCT($J$5,I12), IMSUM(I12,$J$5))</f>
        <v>48,0471145868071+0,769424998486638i</v>
      </c>
      <c r="K12" s="25" t="str">
        <f t="shared" ref="K12:K71" si="6">IMSUM($K$11, COMPLEX(0,C11*$J$6))</f>
        <v>0,04601472+0,838026123530385i</v>
      </c>
      <c r="L12" s="5"/>
      <c r="M12" s="90"/>
      <c r="N12" s="89"/>
      <c r="O12" s="5"/>
      <c r="P12" s="5"/>
      <c r="Q12" s="5"/>
      <c r="R12" s="5"/>
      <c r="S12" s="5"/>
      <c r="T12" s="5"/>
      <c r="U12" s="5"/>
    </row>
    <row r="13" spans="1:21" x14ac:dyDescent="0.2">
      <c r="A13" s="21">
        <v>2</v>
      </c>
      <c r="B13" s="104">
        <f t="shared" si="3"/>
        <v>6.6688000000000001</v>
      </c>
      <c r="C13" s="23">
        <f t="shared" si="0"/>
        <v>0</v>
      </c>
      <c r="D13" s="26">
        <f t="shared" ref="D13:D71" si="7">IMREAL(I13)</f>
        <v>48.0931293068071</v>
      </c>
      <c r="E13" s="27">
        <f t="shared" ref="E13:E71" si="8">IMAGINARY(I13)</f>
        <v>1.60745112201702</v>
      </c>
      <c r="F13" s="22">
        <f t="shared" si="1"/>
        <v>48.119985303727411</v>
      </c>
      <c r="G13" s="22">
        <f t="shared" si="4"/>
        <v>1.0024996938276545</v>
      </c>
      <c r="H13" s="23">
        <f t="shared" si="2"/>
        <v>0.9994418951553955</v>
      </c>
      <c r="I13" s="28" t="str">
        <f t="shared" ref="I13:I71" si="9">IMSUM(J12,K12)</f>
        <v>48,0931293068071+1,60745112201702i</v>
      </c>
      <c r="J13" s="14" t="str">
        <f t="shared" si="5"/>
        <v>48,0954046623487+1,5730820741949i</v>
      </c>
      <c r="K13" s="25" t="str">
        <f t="shared" si="6"/>
        <v>0,04601472+0,838026123530385i</v>
      </c>
      <c r="L13" s="5"/>
      <c r="M13" s="90"/>
      <c r="N13" s="89"/>
      <c r="O13" s="5"/>
      <c r="P13" s="5"/>
      <c r="Q13" s="5"/>
      <c r="R13" s="5"/>
      <c r="S13" s="5"/>
      <c r="T13" s="5"/>
      <c r="U13" s="5"/>
    </row>
    <row r="14" spans="1:21" x14ac:dyDescent="0.2">
      <c r="A14" s="21">
        <v>3</v>
      </c>
      <c r="B14" s="104">
        <f t="shared" si="3"/>
        <v>10.0032</v>
      </c>
      <c r="C14" s="23">
        <f t="shared" si="0"/>
        <v>0</v>
      </c>
      <c r="D14" s="26">
        <f t="shared" si="7"/>
        <v>48.141419382348701</v>
      </c>
      <c r="E14" s="27">
        <f t="shared" si="8"/>
        <v>2.4111081977252899</v>
      </c>
      <c r="F14" s="22">
        <f t="shared" si="1"/>
        <v>48.201760371259446</v>
      </c>
      <c r="G14" s="22">
        <f t="shared" si="4"/>
        <v>1.0042033410679052</v>
      </c>
      <c r="H14" s="23">
        <f t="shared" si="2"/>
        <v>0.99874815798331884</v>
      </c>
      <c r="I14" s="28" t="str">
        <f t="shared" si="9"/>
        <v>48,1414193823487+2,41110819772529i</v>
      </c>
      <c r="J14" s="14" t="str">
        <f t="shared" si="5"/>
        <v>48,1448480757483+2,37671682350562i</v>
      </c>
      <c r="K14" s="25" t="str">
        <f t="shared" si="6"/>
        <v>0,04601472+0,838026123530385i</v>
      </c>
      <c r="L14" s="5"/>
      <c r="M14" s="90"/>
      <c r="N14" s="89"/>
      <c r="O14" s="5"/>
      <c r="P14" s="5"/>
      <c r="Q14" s="5"/>
      <c r="R14" s="5"/>
      <c r="S14" s="5"/>
      <c r="T14" s="5"/>
      <c r="U14" s="5"/>
    </row>
    <row r="15" spans="1:21" x14ac:dyDescent="0.2">
      <c r="A15" s="21">
        <v>4</v>
      </c>
      <c r="B15" s="104">
        <f t="shared" si="3"/>
        <v>13.3376</v>
      </c>
      <c r="C15" s="23">
        <f t="shared" si="0"/>
        <v>0</v>
      </c>
      <c r="D15" s="26">
        <f t="shared" si="7"/>
        <v>48.190862795748302</v>
      </c>
      <c r="E15" s="27">
        <f t="shared" si="8"/>
        <v>3.2147429470360098</v>
      </c>
      <c r="F15" s="22">
        <f t="shared" si="1"/>
        <v>48.297969203830455</v>
      </c>
      <c r="G15" s="22">
        <f t="shared" si="4"/>
        <v>1.0062076917464677</v>
      </c>
      <c r="H15" s="23">
        <f t="shared" si="2"/>
        <v>0.99778238278238696</v>
      </c>
      <c r="I15" s="28" t="str">
        <f t="shared" si="9"/>
        <v>48,1908627957483+3,21474294703601i</v>
      </c>
      <c r="J15" s="14" t="str">
        <f t="shared" si="5"/>
        <v>48,1954472540126+3,18034673268355i</v>
      </c>
      <c r="K15" s="25" t="str">
        <f t="shared" si="6"/>
        <v>0,04601472+0,838026123530385i</v>
      </c>
      <c r="L15" s="5"/>
      <c r="M15" s="90"/>
      <c r="N15" s="89"/>
      <c r="O15" s="5"/>
      <c r="P15" s="5"/>
      <c r="Q15" s="5"/>
      <c r="R15" s="5"/>
      <c r="S15" s="5"/>
      <c r="T15" s="5"/>
      <c r="U15" s="5"/>
    </row>
    <row r="16" spans="1:21" x14ac:dyDescent="0.2">
      <c r="A16" s="21">
        <v>5</v>
      </c>
      <c r="B16" s="104">
        <f t="shared" si="3"/>
        <v>16.672000000000001</v>
      </c>
      <c r="C16" s="23">
        <f t="shared" si="0"/>
        <v>0</v>
      </c>
      <c r="D16" s="26">
        <f t="shared" si="7"/>
        <v>48.241461974012601</v>
      </c>
      <c r="E16" s="27">
        <f t="shared" si="8"/>
        <v>4.0183728562139303</v>
      </c>
      <c r="F16" s="22">
        <f t="shared" si="1"/>
        <v>48.408532035186326</v>
      </c>
      <c r="G16" s="22">
        <f t="shared" si="4"/>
        <v>1.0085110840663818</v>
      </c>
      <c r="H16" s="23">
        <f t="shared" si="2"/>
        <v>0.99654874762464829</v>
      </c>
      <c r="I16" s="28" t="str">
        <f t="shared" si="9"/>
        <v>48,2414619740126+4,01837285621393i</v>
      </c>
      <c r="J16" s="14" t="str">
        <f t="shared" si="5"/>
        <v>48,2472047322837+3,98398928038492i</v>
      </c>
      <c r="K16" s="25" t="str">
        <f t="shared" si="6"/>
        <v>0,04601472+0,838026123530385i</v>
      </c>
      <c r="M16" s="90"/>
    </row>
    <row r="17" spans="1:13" x14ac:dyDescent="0.2">
      <c r="A17" s="21">
        <v>6</v>
      </c>
      <c r="B17" s="104">
        <f t="shared" si="3"/>
        <v>20.006399999999999</v>
      </c>
      <c r="C17" s="23">
        <f t="shared" si="0"/>
        <v>0</v>
      </c>
      <c r="D17" s="26">
        <f t="shared" si="7"/>
        <v>48.293219452283701</v>
      </c>
      <c r="E17" s="27">
        <f t="shared" si="8"/>
        <v>4.8220154039153096</v>
      </c>
      <c r="F17" s="22">
        <f t="shared" si="1"/>
        <v>48.533358400403628</v>
      </c>
      <c r="G17" s="22">
        <f t="shared" si="4"/>
        <v>1.0111116333417423</v>
      </c>
      <c r="H17" s="23">
        <f t="shared" si="2"/>
        <v>0.9950520846684715</v>
      </c>
      <c r="I17" s="28" t="str">
        <f t="shared" si="9"/>
        <v>48,2932194522837+4,82201540391531i</v>
      </c>
      <c r="J17" s="14" t="str">
        <f t="shared" si="5"/>
        <v>48,3001231541878+4,7876619390383i</v>
      </c>
      <c r="K17" s="25" t="str">
        <f t="shared" si="6"/>
        <v>0,04601472+0,838026123530385i</v>
      </c>
      <c r="M17" s="90"/>
    </row>
    <row r="18" spans="1:13" x14ac:dyDescent="0.2">
      <c r="A18" s="21">
        <v>7</v>
      </c>
      <c r="B18" s="104">
        <f t="shared" si="3"/>
        <v>23.340800000000002</v>
      </c>
      <c r="C18" s="23">
        <f t="shared" si="0"/>
        <v>0</v>
      </c>
      <c r="D18" s="26">
        <f t="shared" si="7"/>
        <v>48.346137874187797</v>
      </c>
      <c r="E18" s="27">
        <f t="shared" si="8"/>
        <v>5.62568806256869</v>
      </c>
      <c r="F18" s="22">
        <f t="shared" si="1"/>
        <v>48.672347524311</v>
      </c>
      <c r="G18" s="22">
        <f t="shared" si="4"/>
        <v>1.0140072400898126</v>
      </c>
      <c r="H18" s="23">
        <f t="shared" si="2"/>
        <v>0.99329784432607715</v>
      </c>
      <c r="I18" s="28" t="str">
        <f t="shared" si="9"/>
        <v>48,3461378741878+5,62568806256869i</v>
      </c>
      <c r="J18" s="14" t="str">
        <f t="shared" si="5"/>
        <v>48,3542052722051+5,59138217622271i</v>
      </c>
      <c r="K18" s="25" t="str">
        <f t="shared" si="6"/>
        <v>0,04601472+0,838026123530385i</v>
      </c>
      <c r="M18" s="90"/>
    </row>
    <row r="19" spans="1:13" x14ac:dyDescent="0.2">
      <c r="A19" s="21">
        <v>8</v>
      </c>
      <c r="B19" s="104">
        <f t="shared" si="3"/>
        <v>26.6752</v>
      </c>
      <c r="C19" s="23">
        <f t="shared" si="0"/>
        <v>0</v>
      </c>
      <c r="D19" s="26">
        <f t="shared" si="7"/>
        <v>48.400219992205102</v>
      </c>
      <c r="E19" s="27">
        <f t="shared" si="8"/>
        <v>6.4294082997530904</v>
      </c>
      <c r="F19" s="22">
        <f t="shared" si="1"/>
        <v>48.825388747851093</v>
      </c>
      <c r="G19" s="22">
        <f t="shared" si="4"/>
        <v>1.0171955989135644</v>
      </c>
      <c r="H19" s="23">
        <f t="shared" si="2"/>
        <v>0.99129205590473246</v>
      </c>
      <c r="I19" s="28" t="str">
        <f t="shared" si="9"/>
        <v>48,4002199922051+6,42940829975309i</v>
      </c>
      <c r="J19" s="14" t="str">
        <f t="shared" si="5"/>
        <v>48,4094539480609+6,39516745604308i</v>
      </c>
      <c r="K19" s="25" t="str">
        <f t="shared" si="6"/>
        <v>0,04601472+0,838026123530385i</v>
      </c>
      <c r="M19" s="90"/>
    </row>
    <row r="20" spans="1:13" x14ac:dyDescent="0.2">
      <c r="A20" s="21">
        <v>9</v>
      </c>
      <c r="B20" s="104">
        <f t="shared" si="3"/>
        <v>30.009599999999999</v>
      </c>
      <c r="C20" s="23">
        <f t="shared" si="0"/>
        <v>0</v>
      </c>
      <c r="D20" s="26">
        <f t="shared" si="7"/>
        <v>48.455468668060902</v>
      </c>
      <c r="E20" s="27">
        <f t="shared" si="8"/>
        <v>7.2331935795734603</v>
      </c>
      <c r="F20" s="22">
        <f t="shared" si="1"/>
        <v>48.992361988385646</v>
      </c>
      <c r="G20" s="22">
        <f t="shared" si="4"/>
        <v>1.0206742080913676</v>
      </c>
      <c r="H20" s="23">
        <f t="shared" si="2"/>
        <v>0.98904128524254409</v>
      </c>
      <c r="I20" s="28" t="str">
        <f t="shared" si="9"/>
        <v>48,4554686680609+7,23319357957346i</v>
      </c>
      <c r="J20" s="14" t="str">
        <f t="shared" si="5"/>
        <v>48,4658721531373+7,19903524050352i</v>
      </c>
      <c r="K20" s="25" t="str">
        <f t="shared" si="6"/>
        <v>0,04601472+0,838026123530385i</v>
      </c>
      <c r="M20" s="90"/>
    </row>
    <row r="21" spans="1:13" x14ac:dyDescent="0.2">
      <c r="A21" s="21">
        <v>10</v>
      </c>
      <c r="B21" s="104">
        <f t="shared" si="3"/>
        <v>33.344000000000001</v>
      </c>
      <c r="C21" s="23">
        <f t="shared" si="0"/>
        <v>0</v>
      </c>
      <c r="D21" s="26">
        <f t="shared" si="7"/>
        <v>48.5118868731373</v>
      </c>
      <c r="E21" s="27">
        <f t="shared" si="8"/>
        <v>8.0370613640338995</v>
      </c>
      <c r="F21" s="22">
        <f t="shared" si="1"/>
        <v>49.17313822974203</v>
      </c>
      <c r="G21" s="22">
        <f t="shared" si="4"/>
        <v>1.0244403797862922</v>
      </c>
      <c r="H21" s="23">
        <f t="shared" si="2"/>
        <v>0.98655258988118066</v>
      </c>
      <c r="I21" s="28" t="str">
        <f t="shared" si="9"/>
        <v>48,5118868731373+8,0370613640339i</v>
      </c>
      <c r="J21" s="14" t="str">
        <f t="shared" si="5"/>
        <v>48,523462968907+8,00300299087819i</v>
      </c>
      <c r="K21" s="25" t="str">
        <f t="shared" si="6"/>
        <v>0,04601472+0,838026123530385i</v>
      </c>
      <c r="M21" s="90"/>
    </row>
    <row r="22" spans="1:13" x14ac:dyDescent="0.2">
      <c r="A22" s="21">
        <v>11</v>
      </c>
      <c r="B22" s="104">
        <f t="shared" si="3"/>
        <v>36.678400000000003</v>
      </c>
      <c r="C22" s="23">
        <f t="shared" si="0"/>
        <v>0</v>
      </c>
      <c r="D22" s="26">
        <f t="shared" si="7"/>
        <v>48.569477688907</v>
      </c>
      <c r="E22" s="27">
        <f t="shared" si="8"/>
        <v>8.8410291144085793</v>
      </c>
      <c r="F22" s="22">
        <f t="shared" si="1"/>
        <v>49.367580037662925</v>
      </c>
      <c r="G22" s="22">
        <f t="shared" si="4"/>
        <v>1.0284912507846442</v>
      </c>
      <c r="H22" s="23">
        <f t="shared" si="2"/>
        <v>0.9838334723284583</v>
      </c>
      <c r="I22" s="28" t="str">
        <f t="shared" si="9"/>
        <v>48,569477688907+8,84102911440858i</v>
      </c>
      <c r="J22" s="14" t="str">
        <f t="shared" si="5"/>
        <v>48,5822295873878+8,80708816908039i</v>
      </c>
      <c r="K22" s="25" t="str">
        <f t="shared" si="6"/>
        <v>0,04601472+0,838026123530385i</v>
      </c>
      <c r="M22" s="90"/>
    </row>
    <row r="23" spans="1:13" x14ac:dyDescent="0.2">
      <c r="A23" s="21">
        <v>12</v>
      </c>
      <c r="B23" s="104">
        <f t="shared" si="3"/>
        <v>40.012799999999999</v>
      </c>
      <c r="C23" s="23">
        <f t="shared" si="0"/>
        <v>0</v>
      </c>
      <c r="D23" s="26">
        <f t="shared" si="7"/>
        <v>48.628244307387803</v>
      </c>
      <c r="E23" s="27">
        <f t="shared" si="8"/>
        <v>9.6451142926107796</v>
      </c>
      <c r="F23" s="22">
        <f t="shared" si="1"/>
        <v>49.57554209624459</v>
      </c>
      <c r="G23" s="22">
        <f t="shared" si="4"/>
        <v>1.0328237936717624</v>
      </c>
      <c r="H23" s="23">
        <f t="shared" si="2"/>
        <v>0.98089183196387997</v>
      </c>
      <c r="I23" s="28" t="str">
        <f t="shared" si="9"/>
        <v>48,6282443073878+9,64511429261078i</v>
      </c>
      <c r="J23" s="14" t="str">
        <f t="shared" si="5"/>
        <v>48,6421753116185+9,61130823902963i</v>
      </c>
      <c r="K23" s="25" t="str">
        <f t="shared" si="6"/>
        <v>0,04601472+0,838026123530385i</v>
      </c>
      <c r="M23" s="90"/>
    </row>
    <row r="24" spans="1:13" x14ac:dyDescent="0.2">
      <c r="A24" s="21">
        <v>13</v>
      </c>
      <c r="B24" s="104">
        <f t="shared" si="3"/>
        <v>43.347200000000001</v>
      </c>
      <c r="C24" s="23">
        <f t="shared" si="0"/>
        <v>0</v>
      </c>
      <c r="D24" s="26">
        <f t="shared" si="7"/>
        <v>48.688190031618497</v>
      </c>
      <c r="E24" s="27">
        <f t="shared" si="8"/>
        <v>10.44933436256</v>
      </c>
      <c r="F24" s="22">
        <f t="shared" si="1"/>
        <v>49.796871760940689</v>
      </c>
      <c r="G24" s="22">
        <f t="shared" si="4"/>
        <v>1.0374348283529311</v>
      </c>
      <c r="H24" s="23">
        <f t="shared" si="2"/>
        <v>0.97773591613054278</v>
      </c>
      <c r="I24" s="28" t="str">
        <f t="shared" si="9"/>
        <v>48,6881900316185+10,44933436256i</v>
      </c>
      <c r="J24" s="14" t="str">
        <f t="shared" si="5"/>
        <v>48,7033035561574+10,4156806680173i</v>
      </c>
      <c r="K24" s="25" t="str">
        <f t="shared" si="6"/>
        <v>0,04601472+0,838026123530385i</v>
      </c>
      <c r="M24" s="90"/>
    </row>
    <row r="25" spans="1:13" x14ac:dyDescent="0.2">
      <c r="A25" s="21">
        <v>14</v>
      </c>
      <c r="B25" s="104">
        <f t="shared" si="3"/>
        <v>46.681600000000003</v>
      </c>
      <c r="C25" s="23">
        <f t="shared" si="0"/>
        <v>0</v>
      </c>
      <c r="D25" s="26">
        <f t="shared" si="7"/>
        <v>48.749318276157403</v>
      </c>
      <c r="E25" s="27">
        <f t="shared" si="8"/>
        <v>11.2537067915477</v>
      </c>
      <c r="F25" s="22">
        <f t="shared" si="1"/>
        <v>50.031409623757561</v>
      </c>
      <c r="G25" s="22">
        <f t="shared" si="4"/>
        <v>1.0423210338282825</v>
      </c>
      <c r="H25" s="23">
        <f t="shared" si="2"/>
        <v>0.97437427093816364</v>
      </c>
      <c r="I25" s="28" t="str">
        <f t="shared" si="9"/>
        <v>48,7493182761574+11,2537067915477i</v>
      </c>
      <c r="J25" s="14" t="str">
        <f t="shared" si="5"/>
        <v>48,7656178476012+11,2202229280708i</v>
      </c>
      <c r="K25" s="25" t="str">
        <f t="shared" si="6"/>
        <v>0,04601472+0,838026123530385i</v>
      </c>
      <c r="M25" s="90"/>
    </row>
    <row r="26" spans="1:13" x14ac:dyDescent="0.2">
      <c r="A26" s="21">
        <v>15</v>
      </c>
      <c r="B26" s="104">
        <f t="shared" si="3"/>
        <v>50.015999999999998</v>
      </c>
      <c r="C26" s="23">
        <f t="shared" si="0"/>
        <v>0</v>
      </c>
      <c r="D26" s="26">
        <f t="shared" si="7"/>
        <v>48.811632567601201</v>
      </c>
      <c r="E26" s="27">
        <f t="shared" si="8"/>
        <v>12.0582490516012</v>
      </c>
      <c r="F26" s="22">
        <f t="shared" si="1"/>
        <v>50.278990086366569</v>
      </c>
      <c r="G26" s="22">
        <f t="shared" si="4"/>
        <v>1.0474789601326369</v>
      </c>
      <c r="H26" s="23">
        <f t="shared" si="2"/>
        <v>0.9708156922753457</v>
      </c>
      <c r="I26" s="28" t="str">
        <f t="shared" si="9"/>
        <v>48,8116325676012+12,0582490516012i</v>
      </c>
      <c r="J26" s="14" t="str">
        <f t="shared" si="5"/>
        <v>48,8291218251267+12,0249524973165i</v>
      </c>
      <c r="K26" s="25" t="str">
        <f t="shared" si="6"/>
        <v>0,04601472+0,838026123530385i</v>
      </c>
      <c r="M26" s="90"/>
    </row>
    <row r="27" spans="1:13" x14ac:dyDescent="0.2">
      <c r="A27" s="21">
        <v>16</v>
      </c>
      <c r="B27" s="104">
        <f t="shared" si="3"/>
        <v>53.3504</v>
      </c>
      <c r="C27" s="23">
        <f t="shared" si="0"/>
        <v>0</v>
      </c>
      <c r="D27" s="26">
        <f t="shared" si="7"/>
        <v>48.875136545126701</v>
      </c>
      <c r="E27" s="27">
        <f t="shared" si="8"/>
        <v>12.862978620846899</v>
      </c>
      <c r="F27" s="22">
        <f t="shared" si="1"/>
        <v>50.539441937017308</v>
      </c>
      <c r="G27" s="22">
        <f t="shared" si="4"/>
        <v>1.0529050403545273</v>
      </c>
      <c r="H27" s="23">
        <f t="shared" si="2"/>
        <v>0.96706917749577292</v>
      </c>
      <c r="I27" s="28" t="str">
        <f t="shared" si="9"/>
        <v>48,8751365451267+12,8629786208469i</v>
      </c>
      <c r="J27" s="14" t="str">
        <f t="shared" si="5"/>
        <v>48,8938192410544+12,8298868613416i</v>
      </c>
      <c r="K27" s="25" t="str">
        <f t="shared" si="6"/>
        <v>0,04601472+0,838026123530385i</v>
      </c>
      <c r="M27" s="90"/>
    </row>
    <row r="28" spans="1:13" x14ac:dyDescent="0.2">
      <c r="A28" s="21">
        <v>17</v>
      </c>
      <c r="B28" s="104">
        <f t="shared" si="3"/>
        <v>56.684800000000003</v>
      </c>
      <c r="C28" s="23">
        <f t="shared" si="0"/>
        <v>0</v>
      </c>
      <c r="D28" s="26">
        <f t="shared" si="7"/>
        <v>48.939833961054397</v>
      </c>
      <c r="E28" s="27">
        <f t="shared" si="8"/>
        <v>13.667912984872</v>
      </c>
      <c r="F28" s="22">
        <f t="shared" si="1"/>
        <v>50.812588927327901</v>
      </c>
      <c r="G28" s="22">
        <f t="shared" si="4"/>
        <v>1.0585956026526646</v>
      </c>
      <c r="H28" s="23">
        <f t="shared" si="2"/>
        <v>0.96314387820404279</v>
      </c>
      <c r="I28" s="28" t="str">
        <f t="shared" si="9"/>
        <v>48,9398339610544+13,667912984872i</v>
      </c>
      <c r="J28" s="14" t="str">
        <f t="shared" si="5"/>
        <v>48,9597139614338+13,6350435145552i</v>
      </c>
      <c r="K28" s="25" t="str">
        <f t="shared" si="6"/>
        <v>0,04601472+0,838026123530385i</v>
      </c>
      <c r="M28" s="90"/>
    </row>
    <row r="29" spans="1:13" x14ac:dyDescent="0.2">
      <c r="A29" s="21">
        <v>18</v>
      </c>
      <c r="B29" s="104">
        <f t="shared" si="3"/>
        <v>60.019199999999998</v>
      </c>
      <c r="C29" s="23">
        <f t="shared" si="0"/>
        <v>0</v>
      </c>
      <c r="D29" s="26">
        <f t="shared" si="7"/>
        <v>49.005728681433801</v>
      </c>
      <c r="E29" s="27">
        <f t="shared" si="8"/>
        <v>14.473069638085599</v>
      </c>
      <c r="F29" s="22">
        <f t="shared" si="1"/>
        <v>51.098250345263082</v>
      </c>
      <c r="G29" s="22">
        <f t="shared" si="4"/>
        <v>1.0645468821929809</v>
      </c>
      <c r="H29" s="23">
        <f t="shared" si="2"/>
        <v>0.95904905452358091</v>
      </c>
      <c r="I29" s="28" t="str">
        <f t="shared" si="9"/>
        <v>49,0057286814338+14,4730696380856i</v>
      </c>
      <c r="J29" s="14" t="str">
        <f t="shared" si="5"/>
        <v>49,0268099666518+14,4404399615484i</v>
      </c>
      <c r="K29" s="25" t="str">
        <f t="shared" si="6"/>
        <v>0,04601472+0,838026123530385i</v>
      </c>
      <c r="M29" s="90"/>
    </row>
    <row r="30" spans="1:13" x14ac:dyDescent="0.2">
      <c r="A30" s="21">
        <v>19</v>
      </c>
      <c r="B30" s="104">
        <f t="shared" si="3"/>
        <v>63.3536</v>
      </c>
      <c r="C30" s="23">
        <f t="shared" si="0"/>
        <v>0</v>
      </c>
      <c r="D30" s="26">
        <f t="shared" si="7"/>
        <v>49.072824686651799</v>
      </c>
      <c r="E30" s="27">
        <f t="shared" si="8"/>
        <v>15.278466085078801</v>
      </c>
      <c r="F30" s="22">
        <f t="shared" si="1"/>
        <v>51.396241580875987</v>
      </c>
      <c r="G30" s="22">
        <f t="shared" si="4"/>
        <v>1.0707550329349165</v>
      </c>
      <c r="H30" s="23">
        <f t="shared" si="2"/>
        <v>0.95479403118284234</v>
      </c>
      <c r="I30" s="28" t="str">
        <f t="shared" si="9"/>
        <v>49,0728246866518+15,2784660850788i</v>
      </c>
      <c r="J30" s="14" t="str">
        <f t="shared" si="5"/>
        <v>49,095111352063+15,2460937184546i</v>
      </c>
      <c r="K30" s="25" t="str">
        <f t="shared" si="6"/>
        <v>0,04601472+0,838026123530385i</v>
      </c>
      <c r="M30" s="90"/>
    </row>
    <row r="31" spans="1:13" x14ac:dyDescent="0.2">
      <c r="A31" s="21">
        <v>20</v>
      </c>
      <c r="B31" s="104">
        <f t="shared" si="3"/>
        <v>66.688000000000002</v>
      </c>
      <c r="C31" s="23">
        <f t="shared" si="0"/>
        <v>0</v>
      </c>
      <c r="D31" s="26">
        <f t="shared" si="7"/>
        <v>49.141126072063003</v>
      </c>
      <c r="E31" s="27">
        <f t="shared" si="8"/>
        <v>16.084119841985</v>
      </c>
      <c r="F31" s="22">
        <f t="shared" si="1"/>
        <v>51.706374681674653</v>
      </c>
      <c r="G31" s="22">
        <f t="shared" si="4"/>
        <v>1.0772161392015553</v>
      </c>
      <c r="H31" s="23">
        <f t="shared" si="2"/>
        <v>0.9503881557079884</v>
      </c>
      <c r="I31" s="28" t="str">
        <f t="shared" si="9"/>
        <v>49,141126072063+16,084119841985i</v>
      </c>
      <c r="J31" s="14" t="str">
        <f t="shared" si="5"/>
        <v>49,1646223286429+16,0520223143086i</v>
      </c>
      <c r="K31" s="25" t="str">
        <f t="shared" si="6"/>
        <v>0,04601472+0,838026123530385i</v>
      </c>
      <c r="M31" s="90"/>
    </row>
    <row r="32" spans="1:13" x14ac:dyDescent="0.2">
      <c r="A32" s="21">
        <v>21</v>
      </c>
      <c r="B32" s="104">
        <f t="shared" si="3"/>
        <v>70.022400000000005</v>
      </c>
      <c r="C32" s="23">
        <f t="shared" si="0"/>
        <v>0</v>
      </c>
      <c r="D32" s="26">
        <f t="shared" si="7"/>
        <v>49.210637048642901</v>
      </c>
      <c r="E32" s="27">
        <f t="shared" si="8"/>
        <v>16.890048437838999</v>
      </c>
      <c r="F32" s="22">
        <f t="shared" si="1"/>
        <v>52.028458894780009</v>
      </c>
      <c r="G32" s="22">
        <f t="shared" si="4"/>
        <v>1.0839262269745835</v>
      </c>
      <c r="H32" s="23">
        <f t="shared" si="2"/>
        <v>0.945840758961634</v>
      </c>
      <c r="I32" s="28" t="str">
        <f t="shared" si="9"/>
        <v>49,2106370486429+16,890048437839i</v>
      </c>
      <c r="J32" s="14" t="str">
        <f t="shared" si="5"/>
        <v>49,235347223664+16,8582432924061i</v>
      </c>
      <c r="K32" s="25" t="str">
        <f t="shared" si="6"/>
        <v>0,04601472+0,838026123530385i</v>
      </c>
      <c r="M32" s="90"/>
    </row>
    <row r="33" spans="1:13" x14ac:dyDescent="0.2">
      <c r="A33" s="21">
        <v>22</v>
      </c>
      <c r="B33" s="104">
        <f t="shared" si="3"/>
        <v>73.356800000000007</v>
      </c>
      <c r="C33" s="23">
        <f t="shared" si="0"/>
        <v>0</v>
      </c>
      <c r="D33" s="26">
        <f t="shared" si="7"/>
        <v>49.281361943664002</v>
      </c>
      <c r="E33" s="27">
        <f t="shared" si="8"/>
        <v>17.696269415936499</v>
      </c>
      <c r="F33" s="22">
        <f t="shared" si="1"/>
        <v>52.362301193356885</v>
      </c>
      <c r="G33" s="22">
        <f t="shared" si="4"/>
        <v>1.0908812748616017</v>
      </c>
      <c r="H33" s="23">
        <f t="shared" si="2"/>
        <v>0.94116111821907944</v>
      </c>
      <c r="I33" s="28" t="str">
        <f t="shared" si="9"/>
        <v>49,281361943664+17,6962694159365i</v>
      </c>
      <c r="J33" s="14" t="str">
        <f t="shared" si="5"/>
        <v>49,3072904813948+17,6647742116634i</v>
      </c>
      <c r="K33" s="25" t="str">
        <f t="shared" si="6"/>
        <v>0,04601472+0,838026123530385i</v>
      </c>
      <c r="M33" s="90"/>
    </row>
    <row r="34" spans="1:13" x14ac:dyDescent="0.2">
      <c r="A34" s="21">
        <v>23</v>
      </c>
      <c r="B34" s="104">
        <f t="shared" si="3"/>
        <v>76.691199999999995</v>
      </c>
      <c r="C34" s="23">
        <f t="shared" si="0"/>
        <v>0</v>
      </c>
      <c r="D34" s="26">
        <f t="shared" si="7"/>
        <v>49.353305201394797</v>
      </c>
      <c r="E34" s="27">
        <f t="shared" si="8"/>
        <v>18.5028003351938</v>
      </c>
      <c r="F34" s="22">
        <f t="shared" si="1"/>
        <v>52.707706785118916</v>
      </c>
      <c r="G34" s="22">
        <f t="shared" si="4"/>
        <v>1.0980772246899775</v>
      </c>
      <c r="H34" s="23">
        <f t="shared" si="2"/>
        <v>0.93635842292666061</v>
      </c>
      <c r="I34" s="28" t="str">
        <f t="shared" si="9"/>
        <v>49,3533052013948+18,5028003351938i</v>
      </c>
      <c r="J34" s="14" t="str">
        <f t="shared" si="5"/>
        <v>49,3804566638221+18,4716326479768i</v>
      </c>
      <c r="K34" s="25" t="str">
        <f t="shared" si="6"/>
        <v>0,04601472+0,838026123530385i</v>
      </c>
      <c r="M34" s="90"/>
    </row>
    <row r="35" spans="1:13" x14ac:dyDescent="0.2">
      <c r="A35" s="21">
        <v>24</v>
      </c>
      <c r="B35" s="104">
        <f t="shared" si="3"/>
        <v>80.025599999999997</v>
      </c>
      <c r="C35" s="23">
        <f t="shared" si="0"/>
        <v>0</v>
      </c>
      <c r="D35" s="26">
        <f t="shared" si="7"/>
        <v>49.426471383822097</v>
      </c>
      <c r="E35" s="27">
        <f t="shared" si="8"/>
        <v>19.309658771507198</v>
      </c>
      <c r="F35" s="22">
        <f t="shared" si="1"/>
        <v>53.064479601027173</v>
      </c>
      <c r="G35" s="22">
        <f t="shared" si="4"/>
        <v>1.1055099916880662</v>
      </c>
      <c r="H35" s="23">
        <f t="shared" si="2"/>
        <v>0.93144174324222229</v>
      </c>
      <c r="I35" s="28" t="str">
        <f t="shared" si="9"/>
        <v>49,4264713838221+19,3096587715072i</v>
      </c>
      <c r="J35" s="14" t="str">
        <f t="shared" si="5"/>
        <v>49,4548504513971+19,2788361955826i</v>
      </c>
      <c r="K35" s="25" t="str">
        <f t="shared" si="6"/>
        <v>0,04601472+0,838026123530385i</v>
      </c>
      <c r="M35" s="90"/>
    </row>
    <row r="36" spans="1:13" x14ac:dyDescent="0.2">
      <c r="A36" s="21">
        <v>25</v>
      </c>
      <c r="B36" s="104">
        <f t="shared" si="3"/>
        <v>83.36</v>
      </c>
      <c r="C36" s="23">
        <f t="shared" si="0"/>
        <v>0</v>
      </c>
      <c r="D36" s="26">
        <f t="shared" si="7"/>
        <v>49.500865171397102</v>
      </c>
      <c r="E36" s="27">
        <f t="shared" si="8"/>
        <v>20.116862319113</v>
      </c>
      <c r="F36" s="22">
        <f t="shared" si="1"/>
        <v>53.432422762616554</v>
      </c>
      <c r="G36" s="22">
        <f t="shared" si="4"/>
        <v>1.1131754742211781</v>
      </c>
      <c r="H36" s="23">
        <f t="shared" si="2"/>
        <v>0.92642000141587966</v>
      </c>
      <c r="I36" s="28" t="str">
        <f t="shared" si="9"/>
        <v>49,5008651713971+20,116862319113i</v>
      </c>
      <c r="J36" s="14" t="str">
        <f t="shared" si="5"/>
        <v>49,5304766438046+20,086402468418i</v>
      </c>
      <c r="K36" s="25" t="str">
        <f t="shared" si="6"/>
        <v>0,04601472+0,838026123530385i</v>
      </c>
      <c r="M36" s="90"/>
    </row>
    <row r="37" spans="1:13" x14ac:dyDescent="0.2">
      <c r="A37" s="21">
        <v>26</v>
      </c>
      <c r="B37" s="104">
        <f t="shared" si="3"/>
        <v>86.694400000000002</v>
      </c>
      <c r="C37" s="23">
        <f t="shared" si="0"/>
        <v>0</v>
      </c>
      <c r="D37" s="26">
        <f t="shared" si="7"/>
        <v>49.5764913638046</v>
      </c>
      <c r="E37" s="27">
        <f t="shared" si="8"/>
        <v>20.924428591948399</v>
      </c>
      <c r="F37" s="22">
        <f t="shared" si="1"/>
        <v>53.811339026685999</v>
      </c>
      <c r="G37" s="22">
        <f t="shared" si="4"/>
        <v>1.1210695630559584</v>
      </c>
      <c r="H37" s="23">
        <f t="shared" si="2"/>
        <v>0.92130194603071924</v>
      </c>
      <c r="I37" s="28" t="str">
        <f t="shared" si="9"/>
        <v>49,5764913638046+20,9244285919484i</v>
      </c>
      <c r="J37" s="14" t="str">
        <f t="shared" si="5"/>
        <v>49,6073401607564+20,8943491014822i</v>
      </c>
      <c r="K37" s="25" t="str">
        <f t="shared" si="6"/>
        <v>0,04601472+0,838026123530385i</v>
      </c>
      <c r="M37" s="90"/>
    </row>
    <row r="38" spans="1:13" x14ac:dyDescent="0.2">
      <c r="A38" s="21">
        <v>27</v>
      </c>
      <c r="B38" s="104">
        <f t="shared" si="3"/>
        <v>90.028800000000004</v>
      </c>
      <c r="C38" s="23">
        <f t="shared" si="0"/>
        <v>0</v>
      </c>
      <c r="D38" s="26">
        <f t="shared" si="7"/>
        <v>49.653354880756403</v>
      </c>
      <c r="E38" s="27">
        <f t="shared" si="8"/>
        <v>21.7323752250126</v>
      </c>
      <c r="F38" s="22">
        <f t="shared" si="1"/>
        <v>54.201031206380911</v>
      </c>
      <c r="G38" s="22">
        <f t="shared" si="4"/>
        <v>1.1291881501329357</v>
      </c>
      <c r="H38" s="23">
        <f t="shared" si="2"/>
        <v>0.91609612908823912</v>
      </c>
      <c r="I38" s="28" t="str">
        <f t="shared" si="9"/>
        <v>49,6533548807564+21,7323752250126i</v>
      </c>
      <c r="J38" s="14" t="str">
        <f t="shared" si="5"/>
        <v>49,6854460428088+21,7026937521989i</v>
      </c>
      <c r="K38" s="25" t="str">
        <f t="shared" si="6"/>
        <v>0,04601472+0,838026123530385i</v>
      </c>
      <c r="M38" s="90"/>
    </row>
    <row r="39" spans="1:13" x14ac:dyDescent="0.2">
      <c r="A39" s="21">
        <v>28</v>
      </c>
      <c r="B39" s="104">
        <f t="shared" si="3"/>
        <v>93.363200000000006</v>
      </c>
      <c r="C39" s="23">
        <f t="shared" si="0"/>
        <v>0</v>
      </c>
      <c r="D39" s="26">
        <f t="shared" si="7"/>
        <v>49.731460762808801</v>
      </c>
      <c r="E39" s="27">
        <f t="shared" si="8"/>
        <v>22.540719875729302</v>
      </c>
      <c r="F39" s="22">
        <f t="shared" si="1"/>
        <v>54.601302567968922</v>
      </c>
      <c r="G39" s="22">
        <f t="shared" si="4"/>
        <v>1.1375271368326858</v>
      </c>
      <c r="H39" s="23">
        <f t="shared" si="2"/>
        <v>0.91081088589236436</v>
      </c>
      <c r="I39" s="28" t="str">
        <f t="shared" si="9"/>
        <v>49,7314607628088+22,5407198757293i</v>
      </c>
      <c r="J39" s="14" t="str">
        <f t="shared" si="5"/>
        <v>49,7647994522045+22,5114541017797i</v>
      </c>
      <c r="K39" s="25" t="str">
        <f t="shared" si="6"/>
        <v>0,04601472+0,838026123530385i</v>
      </c>
      <c r="M39" s="90"/>
    </row>
    <row r="40" spans="1:13" x14ac:dyDescent="0.2">
      <c r="A40" s="21">
        <v>29</v>
      </c>
      <c r="B40" s="104">
        <f t="shared" si="3"/>
        <v>96.697599999999994</v>
      </c>
      <c r="C40" s="23">
        <f t="shared" si="0"/>
        <v>0</v>
      </c>
      <c r="D40" s="26">
        <f t="shared" si="7"/>
        <v>49.810814172204502</v>
      </c>
      <c r="E40" s="27">
        <f t="shared" si="8"/>
        <v>23.349480225310099</v>
      </c>
      <c r="F40" s="22">
        <f t="shared" si="1"/>
        <v>55.011957202866689</v>
      </c>
      <c r="G40" s="22">
        <f t="shared" si="4"/>
        <v>1.1460824417263893</v>
      </c>
      <c r="H40" s="23">
        <f t="shared" si="2"/>
        <v>0.90545431765894058</v>
      </c>
      <c r="I40" s="28" t="str">
        <f t="shared" si="9"/>
        <v>49,8108141722045+23,3494802253101i</v>
      </c>
      <c r="J40" s="14" t="str">
        <f t="shared" si="5"/>
        <v>49,8454056737389+23,3206478565886i</v>
      </c>
      <c r="K40" s="25" t="str">
        <f t="shared" si="6"/>
        <v>0,04601472+0,838026123530385i</v>
      </c>
      <c r="M40" s="90"/>
    </row>
    <row r="41" spans="1:13" x14ac:dyDescent="0.2">
      <c r="A41" s="21">
        <v>30</v>
      </c>
      <c r="B41" s="104">
        <f t="shared" si="3"/>
        <v>100.032</v>
      </c>
      <c r="C41" s="23">
        <f t="shared" si="0"/>
        <v>0</v>
      </c>
      <c r="D41" s="26">
        <f t="shared" si="7"/>
        <v>49.891420393738898</v>
      </c>
      <c r="E41" s="27">
        <f t="shared" si="8"/>
        <v>24.158673980119001</v>
      </c>
      <c r="F41" s="22">
        <f t="shared" si="1"/>
        <v>55.432800374710141</v>
      </c>
      <c r="G41" s="22">
        <f t="shared" si="4"/>
        <v>1.1548500078064612</v>
      </c>
      <c r="H41" s="23">
        <f t="shared" si="2"/>
        <v>0.90003427675468184</v>
      </c>
      <c r="I41" s="28" t="str">
        <f t="shared" si="9"/>
        <v>49,8914203937389+24,158673980119i</v>
      </c>
      <c r="J41" s="14" t="str">
        <f t="shared" si="5"/>
        <v>49,9272701156514+24,1302927495082i</v>
      </c>
      <c r="K41" s="25" t="str">
        <f t="shared" si="6"/>
        <v>0,04601472+0,838026123530385i</v>
      </c>
      <c r="M41" s="90"/>
    </row>
    <row r="42" spans="1:13" x14ac:dyDescent="0.2">
      <c r="A42" s="21">
        <v>31</v>
      </c>
      <c r="B42" s="104">
        <f t="shared" si="3"/>
        <v>103.3664</v>
      </c>
      <c r="C42" s="23">
        <f t="shared" si="0"/>
        <v>0</v>
      </c>
      <c r="D42" s="26">
        <f t="shared" si="7"/>
        <v>49.973284835651398</v>
      </c>
      <c r="E42" s="27">
        <f t="shared" si="8"/>
        <v>24.968318873038601</v>
      </c>
      <c r="F42" s="22">
        <f t="shared" si="1"/>
        <v>55.863638841476138</v>
      </c>
      <c r="G42" s="22">
        <f t="shared" si="4"/>
        <v>1.1638258091974196</v>
      </c>
      <c r="H42" s="23">
        <f t="shared" si="2"/>
        <v>0.89455835445056209</v>
      </c>
      <c r="I42" s="28" t="str">
        <f t="shared" si="9"/>
        <v>49,9732848356514+24,9683188730386i</v>
      </c>
      <c r="J42" s="14" t="str">
        <f t="shared" si="5"/>
        <v>50,0103983105418+24,9404065413075i</v>
      </c>
      <c r="K42" s="25" t="str">
        <f t="shared" si="6"/>
        <v>0,04601472+0,838026123530385i</v>
      </c>
      <c r="M42" s="90"/>
    </row>
    <row r="43" spans="1:13" x14ac:dyDescent="0.2">
      <c r="A43" s="21">
        <v>32</v>
      </c>
      <c r="B43" s="104">
        <f t="shared" si="3"/>
        <v>106.7008</v>
      </c>
      <c r="C43" s="23">
        <f t="shared" si="0"/>
        <v>0</v>
      </c>
      <c r="D43" s="26">
        <f t="shared" si="7"/>
        <v>50.056413030541798</v>
      </c>
      <c r="E43" s="27">
        <f t="shared" si="8"/>
        <v>25.778432664837901</v>
      </c>
      <c r="F43" s="22">
        <f t="shared" si="1"/>
        <v>56.304281152855296</v>
      </c>
      <c r="G43" s="22">
        <f t="shared" si="4"/>
        <v>1.1730058573511519</v>
      </c>
      <c r="H43" s="23">
        <f t="shared" si="2"/>
        <v>0.8890338710594361</v>
      </c>
      <c r="I43" s="28" t="str">
        <f t="shared" si="9"/>
        <v>50,0564130305418+25,7784326648379i</v>
      </c>
      <c r="J43" s="14" t="str">
        <f t="shared" si="5"/>
        <v>50,0947959163122+25,7510070220111i</v>
      </c>
      <c r="K43" s="25" t="str">
        <f t="shared" si="6"/>
        <v>0,04601472+0,838026123530385i</v>
      </c>
      <c r="M43" s="90"/>
    </row>
    <row r="44" spans="1:13" x14ac:dyDescent="0.2">
      <c r="A44" s="21">
        <v>33</v>
      </c>
      <c r="B44" s="104">
        <f t="shared" si="3"/>
        <v>110.0352</v>
      </c>
      <c r="C44" s="23">
        <f t="shared" si="0"/>
        <v>0</v>
      </c>
      <c r="D44" s="26">
        <f t="shared" si="7"/>
        <v>50.140810636312203</v>
      </c>
      <c r="E44" s="27">
        <f t="shared" si="8"/>
        <v>26.589033145541499</v>
      </c>
      <c r="F44" s="22">
        <f t="shared" si="1"/>
        <v>56.754537923246488</v>
      </c>
      <c r="G44" s="22">
        <f t="shared" si="4"/>
        <v>1.1823862067343018</v>
      </c>
      <c r="H44" s="23">
        <f t="shared" si="2"/>
        <v>0.88346786831603608</v>
      </c>
      <c r="I44" s="28" t="str">
        <f t="shared" si="9"/>
        <v>50,1408106363122+26,5890331455415i</v>
      </c>
      <c r="J44" s="14" t="str">
        <f t="shared" si="5"/>
        <v>50,1804687171338+26,5621120122712i</v>
      </c>
      <c r="K44" s="25" t="str">
        <f t="shared" si="6"/>
        <v>0,04601472+0,838026123530385i</v>
      </c>
      <c r="M44" s="90"/>
    </row>
    <row r="45" spans="1:13" x14ac:dyDescent="0.2">
      <c r="A45" s="21">
        <v>34</v>
      </c>
      <c r="B45" s="104">
        <f t="shared" si="3"/>
        <v>113.36960000000001</v>
      </c>
      <c r="C45" s="23">
        <f t="shared" si="0"/>
        <v>0</v>
      </c>
      <c r="D45" s="26">
        <f t="shared" si="7"/>
        <v>50.226483437133801</v>
      </c>
      <c r="E45" s="27">
        <f t="shared" si="8"/>
        <v>27.400138135801601</v>
      </c>
      <c r="F45" s="22">
        <f t="shared" si="1"/>
        <v>57.214222080892483</v>
      </c>
      <c r="G45" s="22">
        <f t="shared" si="4"/>
        <v>1.1919629600185935</v>
      </c>
      <c r="H45" s="23">
        <f t="shared" si="2"/>
        <v>0.87786710384912603</v>
      </c>
      <c r="I45" s="28" t="str">
        <f t="shared" si="9"/>
        <v>50,2264834371338+27,4001381358016i</v>
      </c>
      <c r="J45" s="14" t="str">
        <f t="shared" si="5"/>
        <v>50,267422624441+27,3737393647407i</v>
      </c>
      <c r="K45" s="25" t="str">
        <f t="shared" si="6"/>
        <v>0,04601472+0,838026123530385i</v>
      </c>
      <c r="M45" s="90"/>
    </row>
    <row r="46" spans="1:13" x14ac:dyDescent="0.2">
      <c r="A46" s="21">
        <v>35</v>
      </c>
      <c r="B46" s="104">
        <f t="shared" si="3"/>
        <v>116.70400000000001</v>
      </c>
      <c r="C46" s="23">
        <f t="shared" si="0"/>
        <v>0</v>
      </c>
      <c r="D46" s="26">
        <f t="shared" si="7"/>
        <v>50.313437344440999</v>
      </c>
      <c r="E46" s="27">
        <f t="shared" si="8"/>
        <v>28.211765488271102</v>
      </c>
      <c r="F46" s="22">
        <f t="shared" si="1"/>
        <v>57.683149093805504</v>
      </c>
      <c r="G46" s="22">
        <f t="shared" si="4"/>
        <v>1.2017322727876147</v>
      </c>
      <c r="H46" s="23">
        <f t="shared" si="2"/>
        <v>0.87223804759029833</v>
      </c>
      <c r="I46" s="28" t="str">
        <f t="shared" si="9"/>
        <v>50,313437344441+28,2117654882711i</v>
      </c>
      <c r="J46" s="14" t="str">
        <f t="shared" si="5"/>
        <v>50,3556636779505+28,1859069654488i</v>
      </c>
      <c r="K46" s="25" t="str">
        <f t="shared" si="6"/>
        <v>0,04601472+0,838026123530385i</v>
      </c>
      <c r="M46" s="90"/>
    </row>
    <row r="47" spans="1:13" x14ac:dyDescent="0.2">
      <c r="A47" s="21">
        <v>36</v>
      </c>
      <c r="B47" s="104">
        <f t="shared" si="3"/>
        <v>120.0384</v>
      </c>
      <c r="C47" s="23">
        <f t="shared" si="0"/>
        <v>0</v>
      </c>
      <c r="D47" s="26">
        <f t="shared" si="7"/>
        <v>50.401678397950498</v>
      </c>
      <c r="E47" s="27">
        <f t="shared" si="8"/>
        <v>29.023933088979199</v>
      </c>
      <c r="F47" s="22">
        <f t="shared" si="1"/>
        <v>58.161137173235971</v>
      </c>
      <c r="G47" s="22">
        <f t="shared" si="4"/>
        <v>1.2116903577757494</v>
      </c>
      <c r="H47" s="23">
        <f t="shared" si="2"/>
        <v>0.86658687996120976</v>
      </c>
      <c r="I47" s="28" t="str">
        <f t="shared" si="9"/>
        <v>50,4016783979505+29,0239330889792i</v>
      </c>
      <c r="J47" s="14" t="str">
        <f t="shared" si="5"/>
        <v>50,4451980467075+28,9986327351798i</v>
      </c>
      <c r="K47" s="25" t="str">
        <f t="shared" si="6"/>
        <v>0,04601472+0,838026123530385i</v>
      </c>
      <c r="M47" s="90"/>
    </row>
    <row r="48" spans="1:13" x14ac:dyDescent="0.2">
      <c r="A48" s="21">
        <v>37</v>
      </c>
      <c r="B48" s="104">
        <f t="shared" si="3"/>
        <v>123.3728</v>
      </c>
      <c r="C48" s="23">
        <f t="shared" si="0"/>
        <v>0</v>
      </c>
      <c r="D48" s="26">
        <f t="shared" si="7"/>
        <v>50.491212766707498</v>
      </c>
      <c r="E48" s="27">
        <f t="shared" si="8"/>
        <v>29.836658858710202</v>
      </c>
      <c r="F48" s="22">
        <f t="shared" si="1"/>
        <v>58.648007455530632</v>
      </c>
      <c r="G48" s="22">
        <f t="shared" si="4"/>
        <v>1.2218334886568882</v>
      </c>
      <c r="H48" s="23">
        <f t="shared" si="2"/>
        <v>0.86091949168080506</v>
      </c>
      <c r="I48" s="28" t="str">
        <f t="shared" si="9"/>
        <v>50,4912127667075+29,8366588587102i</v>
      </c>
      <c r="J48" s="14" t="str">
        <f t="shared" si="5"/>
        <v>50,5360320301586+29,8119346308539i</v>
      </c>
      <c r="K48" s="25" t="str">
        <f t="shared" si="6"/>
        <v>0,04601472+0,838026123530385i</v>
      </c>
      <c r="M48" s="90"/>
    </row>
    <row r="49" spans="1:13" x14ac:dyDescent="0.2">
      <c r="A49" s="21">
        <v>38</v>
      </c>
      <c r="B49" s="104">
        <f t="shared" si="3"/>
        <v>126.7072</v>
      </c>
      <c r="C49" s="23">
        <f t="shared" si="0"/>
        <v>0</v>
      </c>
      <c r="D49" s="26">
        <f t="shared" si="7"/>
        <v>50.582046750158597</v>
      </c>
      <c r="E49" s="27">
        <f t="shared" si="8"/>
        <v>30.649960754384299</v>
      </c>
      <c r="F49" s="22">
        <f t="shared" si="1"/>
        <v>59.143584163293042</v>
      </c>
      <c r="G49" s="22">
        <f t="shared" si="4"/>
        <v>1.2321580034019384</v>
      </c>
      <c r="H49" s="23">
        <f t="shared" si="2"/>
        <v>0.85524148503586817</v>
      </c>
      <c r="I49" s="28" t="str">
        <f t="shared" si="9"/>
        <v>50,5820467501586+30,6499607543843i</v>
      </c>
      <c r="J49" s="14" t="str">
        <f t="shared" si="5"/>
        <v>50,6281720592523+30,6258306469105i</v>
      </c>
      <c r="K49" s="25" t="str">
        <f t="shared" si="6"/>
        <v>0,04601472+0,838026123530385i</v>
      </c>
      <c r="M49" s="90"/>
    </row>
    <row r="50" spans="1:13" x14ac:dyDescent="0.2">
      <c r="A50" s="21">
        <v>39</v>
      </c>
      <c r="B50" s="104">
        <f t="shared" si="3"/>
        <v>130.04159999999999</v>
      </c>
      <c r="C50" s="23">
        <f t="shared" si="0"/>
        <v>0</v>
      </c>
      <c r="D50" s="26">
        <f t="shared" si="7"/>
        <v>50.674186779252302</v>
      </c>
      <c r="E50" s="27">
        <f t="shared" si="8"/>
        <v>31.463856770440898</v>
      </c>
      <c r="F50" s="22">
        <f t="shared" si="1"/>
        <v>59.647694746816228</v>
      </c>
      <c r="G50" s="22">
        <f t="shared" si="4"/>
        <v>1.2426603072253382</v>
      </c>
      <c r="H50" s="23">
        <f t="shared" si="2"/>
        <v>0.84955817646175003</v>
      </c>
      <c r="I50" s="28" t="str">
        <f t="shared" si="9"/>
        <v>50,6741867792523+31,4638567704409i</v>
      </c>
      <c r="J50" s="14" t="str">
        <f t="shared" si="5"/>
        <v>50,7216246975659+31,4403388166952i</v>
      </c>
      <c r="K50" s="25" t="str">
        <f t="shared" si="6"/>
        <v>0,04601472+0,838026123530385i</v>
      </c>
      <c r="M50" s="90"/>
    </row>
    <row r="51" spans="1:13" x14ac:dyDescent="0.2">
      <c r="A51" s="21">
        <v>40</v>
      </c>
      <c r="B51" s="104">
        <f t="shared" si="3"/>
        <v>133.376</v>
      </c>
      <c r="C51" s="23">
        <f t="shared" si="0"/>
        <v>0</v>
      </c>
      <c r="D51" s="26">
        <f t="shared" si="7"/>
        <v>50.767639417565903</v>
      </c>
      <c r="E51" s="27">
        <f t="shared" si="8"/>
        <v>32.2783649402256</v>
      </c>
      <c r="F51" s="22">
        <f t="shared" si="1"/>
        <v>60.160170006794168</v>
      </c>
      <c r="G51" s="22">
        <f t="shared" si="4"/>
        <v>1.2533368751415452</v>
      </c>
      <c r="H51" s="23">
        <f t="shared" si="2"/>
        <v>0.84387460028508032</v>
      </c>
      <c r="I51" s="28" t="str">
        <f t="shared" si="9"/>
        <v>50,7676394175659+32,2783649402256i</v>
      </c>
      <c r="J51" s="14" t="str">
        <f t="shared" si="5"/>
        <v>50,8163966424617+32,255477213849i</v>
      </c>
      <c r="K51" s="25" t="str">
        <f t="shared" si="6"/>
        <v>0,04601472+0,838026123530385i</v>
      </c>
      <c r="M51" s="90"/>
    </row>
    <row r="52" spans="1:13" x14ac:dyDescent="0.2">
      <c r="A52" s="21">
        <v>41</v>
      </c>
      <c r="B52" s="104">
        <f t="shared" si="3"/>
        <v>136.71039999999999</v>
      </c>
      <c r="C52" s="23">
        <f t="shared" si="0"/>
        <v>0</v>
      </c>
      <c r="D52" s="26">
        <f t="shared" si="7"/>
        <v>50.8624113624617</v>
      </c>
      <c r="E52" s="27">
        <f t="shared" si="8"/>
        <v>33.093503337379403</v>
      </c>
      <c r="F52" s="22">
        <f t="shared" si="1"/>
        <v>60.680844199346915</v>
      </c>
      <c r="G52" s="22">
        <f t="shared" si="4"/>
        <v>1.2641842541530608</v>
      </c>
      <c r="H52" s="23">
        <f t="shared" si="2"/>
        <v>0.83819551348643084</v>
      </c>
      <c r="I52" s="28" t="str">
        <f t="shared" si="9"/>
        <v>50,8624113624617+33,0935033373794i</v>
      </c>
      <c r="J52" s="14" t="str">
        <f t="shared" si="5"/>
        <v>50,9124947262701+33,0712639537019i</v>
      </c>
      <c r="K52" s="25" t="str">
        <f t="shared" si="6"/>
        <v>0,04601472+0,838026123530385i</v>
      </c>
      <c r="M52" s="90"/>
    </row>
    <row r="53" spans="1:13" x14ac:dyDescent="0.2">
      <c r="A53" s="21">
        <v>42</v>
      </c>
      <c r="B53" s="104">
        <f t="shared" si="3"/>
        <v>140.04480000000001</v>
      </c>
      <c r="C53" s="23">
        <f t="shared" si="0"/>
        <v>0</v>
      </c>
      <c r="D53" s="26">
        <f t="shared" si="7"/>
        <v>50.958509446270099</v>
      </c>
      <c r="E53" s="27">
        <f t="shared" si="8"/>
        <v>33.909290077232299</v>
      </c>
      <c r="F53" s="22">
        <f t="shared" si="1"/>
        <v>61.209555124404261</v>
      </c>
      <c r="G53" s="22">
        <f t="shared" si="4"/>
        <v>1.2751990650917555</v>
      </c>
      <c r="H53" s="23">
        <f t="shared" si="2"/>
        <v>0.83252540134788422</v>
      </c>
      <c r="I53" s="28" t="str">
        <f t="shared" si="9"/>
        <v>50,9585094462701+33,9092900772323i</v>
      </c>
      <c r="J53" s="14" t="str">
        <f t="shared" si="5"/>
        <v>51,0099259175024+33,8877171946684i</v>
      </c>
      <c r="K53" s="25" t="str">
        <f t="shared" si="6"/>
        <v>0,04601472+0,838026123530385i</v>
      </c>
      <c r="M53" s="90"/>
    </row>
    <row r="54" spans="1:13" x14ac:dyDescent="0.2">
      <c r="A54" s="21">
        <v>43</v>
      </c>
      <c r="B54" s="104">
        <f t="shared" si="3"/>
        <v>143.3792</v>
      </c>
      <c r="C54" s="23">
        <f t="shared" si="0"/>
        <v>0</v>
      </c>
      <c r="D54" s="26">
        <f t="shared" si="7"/>
        <v>51.055940637502403</v>
      </c>
      <c r="E54" s="27">
        <f t="shared" si="8"/>
        <v>34.725743318198802</v>
      </c>
      <c r="F54" s="22">
        <f t="shared" si="1"/>
        <v>61.746144198497106</v>
      </c>
      <c r="G54" s="22">
        <f t="shared" si="4"/>
        <v>1.2863780041353563</v>
      </c>
      <c r="H54" s="23">
        <f t="shared" si="2"/>
        <v>0.82686848385822109</v>
      </c>
      <c r="I54" s="28" t="str">
        <f t="shared" si="9"/>
        <v>51,0559406375024+34,7257433181988i</v>
      </c>
      <c r="J54" s="14" t="str">
        <f t="shared" si="5"/>
        <v>51,1086973220916+34,7048551396482i</v>
      </c>
      <c r="K54" s="25" t="str">
        <f t="shared" si="6"/>
        <v>0,04601472+0,838026123530385i</v>
      </c>
      <c r="M54" s="90"/>
    </row>
    <row r="55" spans="1:13" x14ac:dyDescent="0.2">
      <c r="A55" s="21">
        <v>44</v>
      </c>
      <c r="B55" s="104">
        <f t="shared" si="3"/>
        <v>146.71360000000001</v>
      </c>
      <c r="C55" s="23">
        <f t="shared" si="0"/>
        <v>0</v>
      </c>
      <c r="D55" s="26">
        <f t="shared" si="7"/>
        <v>51.154712042091603</v>
      </c>
      <c r="E55" s="27">
        <f t="shared" si="8"/>
        <v>35.5428812631786</v>
      </c>
      <c r="F55" s="22">
        <f t="shared" si="1"/>
        <v>62.290456512998233</v>
      </c>
      <c r="G55" s="22">
        <f t="shared" si="4"/>
        <v>1.2977178440207966</v>
      </c>
      <c r="H55" s="23">
        <f t="shared" si="2"/>
        <v>0.82122872275654424</v>
      </c>
      <c r="I55" s="28" t="str">
        <f t="shared" si="9"/>
        <v>51,1547120420916+35,5428812631786i</v>
      </c>
      <c r="J55" s="14" t="str">
        <f t="shared" si="5"/>
        <v>51,2088161846629+35,5226960374291i</v>
      </c>
      <c r="K55" s="25" t="str">
        <f t="shared" si="6"/>
        <v>0,04601472+0,838026123530385i</v>
      </c>
      <c r="M55" s="90"/>
    </row>
    <row r="56" spans="1:13" x14ac:dyDescent="0.2">
      <c r="A56" s="21">
        <v>45</v>
      </c>
      <c r="B56" s="104">
        <f t="shared" si="3"/>
        <v>150.048</v>
      </c>
      <c r="C56" s="23">
        <f t="shared" si="0"/>
        <v>0</v>
      </c>
      <c r="D56" s="26">
        <f t="shared" si="7"/>
        <v>51.254830904662903</v>
      </c>
      <c r="E56" s="27">
        <f t="shared" si="8"/>
        <v>36.360722160959497</v>
      </c>
      <c r="F56" s="22">
        <f t="shared" si="1"/>
        <v>62.842340878838037</v>
      </c>
      <c r="G56" s="22">
        <f t="shared" si="4"/>
        <v>1.3092154349757925</v>
      </c>
      <c r="H56" s="23">
        <f t="shared" si="2"/>
        <v>0.81560982910365787</v>
      </c>
      <c r="I56" s="28" t="str">
        <f t="shared" si="9"/>
        <v>51,2548309046629+36,3607221609595i</v>
      </c>
      <c r="J56" s="14" t="str">
        <f t="shared" si="5"/>
        <v>51,3102898898335+36,3412581840955i</v>
      </c>
      <c r="K56" s="25" t="str">
        <f t="shared" si="6"/>
        <v>0,04601472+0,838026123530385i</v>
      </c>
      <c r="M56" s="90"/>
    </row>
    <row r="57" spans="1:13" x14ac:dyDescent="0.2">
      <c r="A57" s="21">
        <v>46</v>
      </c>
      <c r="B57" s="104">
        <f t="shared" si="3"/>
        <v>153.38239999999999</v>
      </c>
      <c r="C57" s="23">
        <f t="shared" si="0"/>
        <v>0</v>
      </c>
      <c r="D57" s="26">
        <f t="shared" si="7"/>
        <v>51.356304609833501</v>
      </c>
      <c r="E57" s="27">
        <f t="shared" si="8"/>
        <v>37.179284307625899</v>
      </c>
      <c r="F57" s="22">
        <f t="shared" si="1"/>
        <v>63.401649858700708</v>
      </c>
      <c r="G57" s="22">
        <f t="shared" si="4"/>
        <v>1.3208677053895981</v>
      </c>
      <c r="H57" s="23">
        <f t="shared" si="2"/>
        <v>0.81001527127902961</v>
      </c>
      <c r="I57" s="28" t="str">
        <f t="shared" si="9"/>
        <v>51,3563046098335+37,1792843076259i</v>
      </c>
      <c r="J57" s="14" t="str">
        <f t="shared" si="5"/>
        <v>51,4131259635435+37,1605599244389i</v>
      </c>
      <c r="K57" s="25" t="str">
        <f t="shared" si="6"/>
        <v>0,04601472+0,838026123530385i</v>
      </c>
      <c r="M57" s="90"/>
    </row>
    <row r="58" spans="1:13" x14ac:dyDescent="0.2">
      <c r="A58" s="21">
        <v>47</v>
      </c>
      <c r="B58" s="104">
        <f t="shared" si="3"/>
        <v>156.71680000000001</v>
      </c>
      <c r="C58" s="23">
        <f t="shared" si="0"/>
        <v>0</v>
      </c>
      <c r="D58" s="26">
        <f t="shared" si="7"/>
        <v>51.459140683543502</v>
      </c>
      <c r="E58" s="27">
        <f t="shared" si="8"/>
        <v>37.998586047969297</v>
      </c>
      <c r="F58" s="22">
        <f t="shared" si="1"/>
        <v>63.968239787676268</v>
      </c>
      <c r="G58" s="22">
        <f t="shared" si="4"/>
        <v>1.3326716622432555</v>
      </c>
      <c r="H58" s="23">
        <f t="shared" si="2"/>
        <v>0.80444828330976381</v>
      </c>
      <c r="I58" s="28" t="str">
        <f t="shared" si="9"/>
        <v>51,4591406835435+37,9985860479693i</v>
      </c>
      <c r="J58" s="14" t="str">
        <f t="shared" si="5"/>
        <v>51,5173320744165+37,9806196533746i</v>
      </c>
      <c r="K58" s="25" t="str">
        <f t="shared" si="6"/>
        <v>0,04601472+0,838026123530385i</v>
      </c>
      <c r="M58" s="90"/>
    </row>
    <row r="59" spans="1:13" x14ac:dyDescent="0.2">
      <c r="A59" s="21">
        <v>48</v>
      </c>
      <c r="B59" s="104">
        <f t="shared" si="3"/>
        <v>160.05119999999999</v>
      </c>
      <c r="C59" s="23">
        <f t="shared" si="0"/>
        <v>0</v>
      </c>
      <c r="D59" s="26">
        <f t="shared" si="7"/>
        <v>51.563346794416503</v>
      </c>
      <c r="E59" s="27">
        <f t="shared" si="8"/>
        <v>38.818645776905001</v>
      </c>
      <c r="F59" s="22">
        <f t="shared" si="1"/>
        <v>64.541970783313459</v>
      </c>
      <c r="G59" s="22">
        <f t="shared" si="4"/>
        <v>1.3446243913190303</v>
      </c>
      <c r="H59" s="23">
        <f t="shared" si="2"/>
        <v>0.79891187344634951</v>
      </c>
      <c r="I59" s="28" t="str">
        <f t="shared" si="9"/>
        <v>51,5633467944165+38,818645776905i</v>
      </c>
      <c r="J59" s="14" t="str">
        <f t="shared" si="5"/>
        <v>51,6229160351507+38,8014558173611i</v>
      </c>
      <c r="K59" s="25" t="str">
        <f t="shared" si="6"/>
        <v>0,04601472+0,838026123530385i</v>
      </c>
      <c r="M59" s="90"/>
    </row>
    <row r="60" spans="1:13" x14ac:dyDescent="0.2">
      <c r="A60" s="21">
        <v>49</v>
      </c>
      <c r="B60" s="104">
        <f t="shared" si="3"/>
        <v>163.38560000000001</v>
      </c>
      <c r="C60" s="23">
        <f t="shared" si="0"/>
        <v>0</v>
      </c>
      <c r="D60" s="26">
        <f t="shared" si="7"/>
        <v>51.668930755150697</v>
      </c>
      <c r="E60" s="27">
        <f t="shared" si="8"/>
        <v>39.6394819408915</v>
      </c>
      <c r="F60" s="22">
        <f t="shared" si="1"/>
        <v>65.122706745979329</v>
      </c>
      <c r="G60" s="22">
        <f t="shared" si="4"/>
        <v>1.3567230572079028</v>
      </c>
      <c r="H60" s="23">
        <f t="shared" si="2"/>
        <v>0.7934088329082043</v>
      </c>
      <c r="I60" s="28" t="str">
        <f t="shared" si="9"/>
        <v>51,6689307551507+39,6394819408915i</v>
      </c>
      <c r="J60" s="14" t="str">
        <f t="shared" si="5"/>
        <v>51,7298858039427+39,6230869158253i</v>
      </c>
      <c r="K60" s="25" t="str">
        <f t="shared" si="6"/>
        <v>0,04601472+0,838026123530385i</v>
      </c>
      <c r="M60" s="90"/>
    </row>
    <row r="61" spans="1:13" x14ac:dyDescent="0.2">
      <c r="A61" s="21">
        <v>50</v>
      </c>
      <c r="B61" s="104">
        <f t="shared" si="3"/>
        <v>166.72</v>
      </c>
      <c r="C61" s="23">
        <f t="shared" si="0"/>
        <v>0</v>
      </c>
      <c r="D61" s="26">
        <f t="shared" si="7"/>
        <v>51.775900523942703</v>
      </c>
      <c r="E61" s="27">
        <f t="shared" si="8"/>
        <v>40.461113039355702</v>
      </c>
      <c r="F61" s="22">
        <f t="shared" si="1"/>
        <v>65.710315350397849</v>
      </c>
      <c r="G61" s="22">
        <f t="shared" si="4"/>
        <v>1.3689649031332884</v>
      </c>
      <c r="H61" s="23">
        <f t="shared" si="2"/>
        <v>0.78794174472987411</v>
      </c>
      <c r="I61" s="28" t="str">
        <f t="shared" si="9"/>
        <v>51,7759005239427+40,4611130393557i</v>
      </c>
      <c r="J61" s="14" t="str">
        <f t="shared" si="5"/>
        <v>51,8382494859421+40,4455315025911i</v>
      </c>
      <c r="K61" s="25" t="str">
        <f t="shared" si="6"/>
        <v>0,04601472+0,838026123530385i</v>
      </c>
      <c r="M61" s="90"/>
    </row>
    <row r="62" spans="1:13" x14ac:dyDescent="0.2">
      <c r="A62" s="21">
        <v>51</v>
      </c>
      <c r="B62" s="104">
        <f t="shared" si="3"/>
        <v>170.05440000000002</v>
      </c>
      <c r="C62" s="23">
        <f t="shared" si="0"/>
        <v>0</v>
      </c>
      <c r="D62" s="26">
        <f t="shared" si="7"/>
        <v>51.884264205942102</v>
      </c>
      <c r="E62" s="27">
        <f t="shared" si="8"/>
        <v>41.2835576261215</v>
      </c>
      <c r="F62" s="22">
        <f t="shared" si="1"/>
        <v>66.304668029191575</v>
      </c>
      <c r="G62" s="22">
        <f t="shared" si="4"/>
        <v>1.3813472506081579</v>
      </c>
      <c r="H62" s="23">
        <f t="shared" si="2"/>
        <v>0.78251299264629925</v>
      </c>
      <c r="I62" s="28" t="str">
        <f t="shared" si="9"/>
        <v>51,8842642059421+41,2835576261215i</v>
      </c>
      <c r="J62" s="14" t="str">
        <f t="shared" si="5"/>
        <v>51,9480153347384+41,2688081873143i</v>
      </c>
      <c r="K62" s="25" t="str">
        <f t="shared" si="6"/>
        <v>0,04601472+0,838026123530385i</v>
      </c>
      <c r="M62" s="90"/>
    </row>
    <row r="63" spans="1:13" x14ac:dyDescent="0.2">
      <c r="A63" s="21">
        <v>52</v>
      </c>
      <c r="B63" s="104">
        <f t="shared" si="3"/>
        <v>173.3888</v>
      </c>
      <c r="C63" s="23">
        <f t="shared" si="0"/>
        <v>0</v>
      </c>
      <c r="D63" s="26">
        <f t="shared" si="7"/>
        <v>51.994030054738403</v>
      </c>
      <c r="E63" s="27">
        <f t="shared" si="8"/>
        <v>42.106834310844697</v>
      </c>
      <c r="F63" s="22">
        <f t="shared" si="1"/>
        <v>66.905639949214802</v>
      </c>
      <c r="G63" s="22">
        <f t="shared" si="4"/>
        <v>1.393867498941975</v>
      </c>
      <c r="H63" s="23">
        <f t="shared" si="2"/>
        <v>0.77712476996266433</v>
      </c>
      <c r="I63" s="28" t="str">
        <f t="shared" si="9"/>
        <v>51,9940300547384+42,1068343108447i</v>
      </c>
      <c r="J63" s="14" t="str">
        <f t="shared" si="5"/>
        <v>52,0591917538812+42,092935636921i</v>
      </c>
      <c r="K63" s="25" t="str">
        <f t="shared" si="6"/>
        <v>0,04601472+0,838026123530385i</v>
      </c>
      <c r="M63" s="90"/>
    </row>
    <row r="64" spans="1:13" x14ac:dyDescent="0.2">
      <c r="A64" s="21">
        <v>53</v>
      </c>
      <c r="B64" s="104">
        <f t="shared" si="3"/>
        <v>176.72319999999999</v>
      </c>
      <c r="C64" s="23">
        <f t="shared" si="0"/>
        <v>0</v>
      </c>
      <c r="D64" s="26">
        <f t="shared" si="7"/>
        <v>52.105206473881204</v>
      </c>
      <c r="E64" s="27">
        <f t="shared" si="8"/>
        <v>42.930961760451403</v>
      </c>
      <c r="F64" s="22">
        <f t="shared" si="1"/>
        <v>67.513109981418665</v>
      </c>
      <c r="G64" s="22">
        <f t="shared" si="4"/>
        <v>1.4065231246128889</v>
      </c>
      <c r="H64" s="23">
        <f t="shared" si="2"/>
        <v>0.77177908836108855</v>
      </c>
      <c r="I64" s="28" t="str">
        <f t="shared" si="9"/>
        <v>52,1052064738812+42,9309617604514i</v>
      </c>
      <c r="J64" s="14" t="str">
        <f t="shared" si="5"/>
        <v>52,1717872984331+42,9179325770519i</v>
      </c>
      <c r="K64" s="25" t="str">
        <f t="shared" si="6"/>
        <v>0,04601472+0,838026123530385i</v>
      </c>
      <c r="M64" s="90"/>
    </row>
    <row r="65" spans="1:16" x14ac:dyDescent="0.2">
      <c r="A65" s="21">
        <v>54</v>
      </c>
      <c r="B65" s="104">
        <f t="shared" si="3"/>
        <v>180.05760000000001</v>
      </c>
      <c r="C65" s="23">
        <f t="shared" si="0"/>
        <v>0</v>
      </c>
      <c r="D65" s="26">
        <f t="shared" si="7"/>
        <v>52.217802018433098</v>
      </c>
      <c r="E65" s="27">
        <f t="shared" si="8"/>
        <v>43.755958700582298</v>
      </c>
      <c r="F65" s="22">
        <f t="shared" si="1"/>
        <v>68.126960664947759</v>
      </c>
      <c r="G65" s="22">
        <f t="shared" si="4"/>
        <v>1.419311680519745</v>
      </c>
      <c r="H65" s="23">
        <f t="shared" si="2"/>
        <v>0.76647778660262267</v>
      </c>
      <c r="I65" s="28" t="str">
        <f t="shared" si="9"/>
        <v>52,2178020184331+43,7559587005823i</v>
      </c>
      <c r="J65" s="14" t="str">
        <f t="shared" si="5"/>
        <v>52,2858106765564+43,7438177935119i</v>
      </c>
      <c r="K65" s="25" t="str">
        <f t="shared" si="6"/>
        <v>0,04601472+0,838026123530385i</v>
      </c>
      <c r="M65" s="90"/>
    </row>
    <row r="66" spans="1:16" x14ac:dyDescent="0.2">
      <c r="A66" s="21">
        <v>55</v>
      </c>
      <c r="B66" s="104">
        <f t="shared" si="3"/>
        <v>183.392</v>
      </c>
      <c r="C66" s="23">
        <f t="shared" si="0"/>
        <v>0</v>
      </c>
      <c r="D66" s="26">
        <f t="shared" si="7"/>
        <v>52.331825396556397</v>
      </c>
      <c r="E66" s="27">
        <f t="shared" si="8"/>
        <v>44.581843917042299</v>
      </c>
      <c r="F66" s="22">
        <f t="shared" si="1"/>
        <v>68.747078166124169</v>
      </c>
      <c r="G66" s="22">
        <f t="shared" si="4"/>
        <v>1.4322307951275868</v>
      </c>
      <c r="H66" s="23">
        <f t="shared" si="2"/>
        <v>0.76122253908884585</v>
      </c>
      <c r="I66" s="28" t="str">
        <f t="shared" si="9"/>
        <v>52,3318253965564+44,5818439170423i</v>
      </c>
      <c r="J66" s="14" t="str">
        <f t="shared" si="5"/>
        <v>52,4012707511343+44,5706101337244i</v>
      </c>
      <c r="K66" s="25" t="str">
        <f t="shared" si="6"/>
        <v>0,04601472+0,838026123530385i</v>
      </c>
      <c r="M66" s="90"/>
    </row>
    <row r="67" spans="1:16" x14ac:dyDescent="0.2">
      <c r="A67" s="21">
        <v>56</v>
      </c>
      <c r="B67" s="104">
        <f t="shared" si="3"/>
        <v>186.72640000000001</v>
      </c>
      <c r="C67" s="23">
        <f t="shared" si="0"/>
        <v>0</v>
      </c>
      <c r="D67" s="26">
        <f t="shared" si="7"/>
        <v>52.4472854711343</v>
      </c>
      <c r="E67" s="27">
        <f t="shared" si="8"/>
        <v>45.408636257254798</v>
      </c>
      <c r="F67" s="22">
        <f t="shared" si="1"/>
        <v>69.373352232931126</v>
      </c>
      <c r="G67" s="22">
        <f t="shared" si="4"/>
        <v>1.4452781715193985</v>
      </c>
      <c r="H67" s="23">
        <f t="shared" si="2"/>
        <v>0.75601486425270192</v>
      </c>
      <c r="I67" s="28" t="str">
        <f t="shared" si="9"/>
        <v>52,4472854711343+45,4086362572548i</v>
      </c>
      <c r="J67" s="14" t="str">
        <f t="shared" si="5"/>
        <v>52,5181765414268+45,3983285081921i</v>
      </c>
      <c r="K67" s="25" t="str">
        <f t="shared" si="6"/>
        <v>0,04601472+0,838026123530385i</v>
      </c>
      <c r="M67" s="90"/>
    </row>
    <row r="68" spans="1:16" x14ac:dyDescent="0.2">
      <c r="A68" s="21">
        <v>57</v>
      </c>
      <c r="B68" s="104">
        <f t="shared" si="3"/>
        <v>190.0608</v>
      </c>
      <c r="C68" s="23">
        <f t="shared" si="0"/>
        <v>0</v>
      </c>
      <c r="D68" s="26">
        <f t="shared" si="7"/>
        <v>52.564191261426799</v>
      </c>
      <c r="E68" s="27">
        <f t="shared" si="8"/>
        <v>46.236354631722499</v>
      </c>
      <c r="F68" s="22">
        <f t="shared" si="1"/>
        <v>70.005676145568813</v>
      </c>
      <c r="G68" s="22">
        <f t="shared" si="4"/>
        <v>1.458451586366017</v>
      </c>
      <c r="H68" s="23">
        <f t="shared" si="2"/>
        <v>0.75085613275308638</v>
      </c>
      <c r="I68" s="28" t="str">
        <f t="shared" si="9"/>
        <v>52,5641912614268+46,2363546317225i</v>
      </c>
      <c r="J68" s="14" t="str">
        <f t="shared" si="5"/>
        <v>52,636537224761+46,2269918919626i</v>
      </c>
      <c r="K68" s="25" t="str">
        <f t="shared" si="6"/>
        <v>0,04601472+0,838026123530385i</v>
      </c>
      <c r="M68" s="90"/>
    </row>
    <row r="69" spans="1:16" x14ac:dyDescent="0.2">
      <c r="A69" s="21">
        <v>58</v>
      </c>
      <c r="B69" s="104">
        <f t="shared" si="3"/>
        <v>193.39519999999999</v>
      </c>
      <c r="C69" s="23">
        <f t="shared" si="0"/>
        <v>0</v>
      </c>
      <c r="D69" s="26">
        <f t="shared" si="7"/>
        <v>52.682551944761002</v>
      </c>
      <c r="E69" s="27">
        <f t="shared" si="8"/>
        <v>47.065018015493003</v>
      </c>
      <c r="F69" s="22">
        <f t="shared" si="1"/>
        <v>70.643946663611047</v>
      </c>
      <c r="G69" s="22">
        <f t="shared" si="4"/>
        <v>1.4717488888252301</v>
      </c>
      <c r="H69" s="23">
        <f t="shared" si="2"/>
        <v>0.74574757545217929</v>
      </c>
      <c r="I69" s="28" t="str">
        <f t="shared" si="9"/>
        <v>52,682551944761+47,065018015493i</v>
      </c>
      <c r="J69" s="14" t="str">
        <f t="shared" si="5"/>
        <v>52,7563621382586+47,0566193261004i</v>
      </c>
      <c r="K69" s="25" t="str">
        <f t="shared" si="6"/>
        <v>0,04601472+0,838026123530385i</v>
      </c>
      <c r="M69" s="90"/>
    </row>
    <row r="70" spans="1:16" ht="17" thickBot="1" x14ac:dyDescent="0.25">
      <c r="A70" s="21">
        <v>59</v>
      </c>
      <c r="B70" s="104">
        <f t="shared" si="3"/>
        <v>196.7296</v>
      </c>
      <c r="C70" s="23">
        <f t="shared" si="0"/>
        <v>0</v>
      </c>
      <c r="D70" s="26">
        <f t="shared" si="7"/>
        <v>52.802376858258597</v>
      </c>
      <c r="E70" s="27">
        <f t="shared" si="8"/>
        <v>47.894645449630801</v>
      </c>
      <c r="F70" s="22">
        <f t="shared" si="1"/>
        <v>71.288063970256644</v>
      </c>
      <c r="G70" s="22">
        <f t="shared" si="4"/>
        <v>1.4851679993803468</v>
      </c>
      <c r="H70" s="23">
        <f t="shared" si="2"/>
        <v>0.74069029115854812</v>
      </c>
      <c r="I70" s="28" t="str">
        <f t="shared" si="9"/>
        <v>52,8023768582586+47,8946454496308i</v>
      </c>
      <c r="J70" s="14" t="str">
        <f t="shared" si="5"/>
        <v>52,8776607805986+47,8872299191643i</v>
      </c>
      <c r="K70" s="25" t="str">
        <f t="shared" si="6"/>
        <v>0,04601472+0,838026123530385i</v>
      </c>
      <c r="M70" s="90"/>
    </row>
    <row r="71" spans="1:16" ht="17" thickBot="1" x14ac:dyDescent="0.25">
      <c r="A71" s="29">
        <v>60</v>
      </c>
      <c r="B71" s="105">
        <f t="shared" si="3"/>
        <v>200.06399999999999</v>
      </c>
      <c r="C71" s="31">
        <f t="shared" si="0"/>
        <v>0</v>
      </c>
      <c r="D71" s="32">
        <f t="shared" si="7"/>
        <v>52.923675500598598</v>
      </c>
      <c r="E71" s="33">
        <f t="shared" si="8"/>
        <v>48.725256042694703</v>
      </c>
      <c r="F71" s="30">
        <f t="shared" si="1"/>
        <v>71.937931614127024</v>
      </c>
      <c r="G71" s="30">
        <f t="shared" si="4"/>
        <v>1.4987069086276463</v>
      </c>
      <c r="H71" s="31">
        <f t="shared" si="2"/>
        <v>0.73568525412267416</v>
      </c>
      <c r="I71" s="34" t="str">
        <f t="shared" si="9"/>
        <v>52,9236755005986+48,7252560426947i</v>
      </c>
      <c r="J71" s="35" t="str">
        <f t="shared" si="5"/>
        <v>53,0004428138177+48,7188428486919i</v>
      </c>
      <c r="K71" s="36" t="str">
        <f t="shared" si="6"/>
        <v>0,04601472+0,838026123530385i</v>
      </c>
      <c r="M71" s="96">
        <f>$G$1/(SQRT(3)*F71)</f>
        <v>3.0497554957359081</v>
      </c>
      <c r="N71" s="97">
        <f>$M$71*$M$71*E71*3</f>
        <v>1359.5820740986844</v>
      </c>
      <c r="O71" s="97">
        <f>$M$71*$M$71*D71*3</f>
        <v>1476.730680347395</v>
      </c>
      <c r="P71" s="98">
        <f>SQRT(N71*N71+O71*O71)</f>
        <v>2007.2859583252607</v>
      </c>
    </row>
    <row r="72" spans="1:16" ht="17" thickBot="1" x14ac:dyDescent="0.25">
      <c r="M72" s="99" t="s">
        <v>98</v>
      </c>
      <c r="N72" s="100" t="s">
        <v>99</v>
      </c>
      <c r="O72" s="101" t="s">
        <v>100</v>
      </c>
      <c r="P72" s="102" t="s">
        <v>101</v>
      </c>
    </row>
  </sheetData>
  <mergeCells count="3">
    <mergeCell ref="A9:C9"/>
    <mergeCell ref="D9:H9"/>
    <mergeCell ref="I9:K9"/>
  </mergeCells>
  <pageMargins left="0.75" right="0.75" top="1" bottom="1" header="0.5" footer="0.5"/>
  <pageSetup paperSize="0" fitToWidth="0" fitToHeight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3B141-6B8C-4649-9522-F4EEBE62DF0D}">
  <dimension ref="A1:BL72"/>
  <sheetViews>
    <sheetView topLeftCell="A8" zoomScale="150" zoomScaleNormal="150" workbookViewId="0">
      <selection activeCell="B11" sqref="B11:B71"/>
    </sheetView>
  </sheetViews>
  <sheetFormatPr baseColWidth="10" defaultRowHeight="16" x14ac:dyDescent="0.2"/>
  <cols>
    <col min="1" max="1" width="16.33203125" style="4" customWidth="1"/>
    <col min="2" max="3" width="14.6640625" style="4" customWidth="1"/>
    <col min="4" max="4" width="17" style="4" customWidth="1"/>
    <col min="5" max="9" width="14.6640625" style="4" customWidth="1"/>
    <col min="10" max="10" width="36.83203125" style="4" customWidth="1"/>
    <col min="11" max="11" width="16.33203125" style="4" customWidth="1"/>
    <col min="12" max="64" width="14.6640625" style="4" customWidth="1"/>
    <col min="65" max="1024" width="14.6640625" style="37" customWidth="1"/>
    <col min="1025" max="16384" width="10.83203125" style="37"/>
  </cols>
  <sheetData>
    <row r="1" spans="1:21" x14ac:dyDescent="0.2">
      <c r="A1" s="4" t="s">
        <v>29</v>
      </c>
      <c r="B1" s="4" t="s">
        <v>3</v>
      </c>
      <c r="D1" s="39">
        <f>Kenngößen_380kV!C3*0.001</f>
        <v>1.0800000000000001E-2</v>
      </c>
      <c r="E1" s="4" t="s">
        <v>30</v>
      </c>
      <c r="F1" s="4" t="s">
        <v>31</v>
      </c>
      <c r="G1" s="4">
        <v>380</v>
      </c>
      <c r="H1" s="4" t="s">
        <v>25</v>
      </c>
      <c r="I1" s="4" t="s">
        <v>19</v>
      </c>
      <c r="J1" s="4">
        <f>D1*D4</f>
        <v>1.8003600000000002E-2</v>
      </c>
      <c r="K1" s="4" t="s">
        <v>22</v>
      </c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x14ac:dyDescent="0.2">
      <c r="B2" s="4" t="s">
        <v>28</v>
      </c>
      <c r="D2" s="40">
        <f>Kenngößen_380kV!C11*0.001</f>
        <v>0.18849555921538758</v>
      </c>
      <c r="E2" s="4" t="s">
        <v>30</v>
      </c>
      <c r="I2" s="4" t="s">
        <v>32</v>
      </c>
      <c r="J2" s="4">
        <f>D2*D4</f>
        <v>0.31422209721205108</v>
      </c>
      <c r="K2" s="4" t="s">
        <v>22</v>
      </c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7" thickBot="1" x14ac:dyDescent="0.25">
      <c r="B3" s="4" t="s">
        <v>5</v>
      </c>
      <c r="D3" s="41">
        <f>Kenngößen_380kV!C5</f>
        <v>245</v>
      </c>
      <c r="E3" s="4" t="s">
        <v>13</v>
      </c>
      <c r="I3" s="4" t="s">
        <v>21</v>
      </c>
      <c r="J3" s="4">
        <f>D3*D4</f>
        <v>408.41500000000002</v>
      </c>
      <c r="K3" s="4" t="s">
        <v>10</v>
      </c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17" thickBot="1" x14ac:dyDescent="0.25">
      <c r="B4" s="4" t="s">
        <v>33</v>
      </c>
      <c r="D4" s="6">
        <f>1.667*1</f>
        <v>1.667</v>
      </c>
      <c r="E4" s="4" t="s">
        <v>7</v>
      </c>
      <c r="I4" s="4" t="s">
        <v>34</v>
      </c>
      <c r="J4" s="7">
        <f>-1/(J3*2*PI()*50/1000000000)</f>
        <v>-7793.7853943608998</v>
      </c>
      <c r="K4" s="4" t="s">
        <v>22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x14ac:dyDescent="0.2">
      <c r="B5" s="4" t="s">
        <v>35</v>
      </c>
      <c r="D5" s="4">
        <f>Kenngößen_380kV!C23</f>
        <v>115</v>
      </c>
      <c r="E5" s="4" t="s">
        <v>22</v>
      </c>
      <c r="F5" s="8" t="s">
        <v>36</v>
      </c>
      <c r="G5" s="9">
        <f>G1/(SQRT(3)*D5)</f>
        <v>1.9077661068874592</v>
      </c>
      <c r="H5" s="10" t="s">
        <v>37</v>
      </c>
      <c r="I5" s="4" t="s">
        <v>38</v>
      </c>
      <c r="J5" s="4" t="str">
        <f>COMPLEX(0,J4)</f>
        <v>-7793,7853943609i</v>
      </c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17" thickBot="1" x14ac:dyDescent="0.25">
      <c r="B6" s="4" t="s">
        <v>39</v>
      </c>
      <c r="D6" s="6">
        <v>2800</v>
      </c>
      <c r="E6" s="4" t="s">
        <v>40</v>
      </c>
      <c r="F6" s="11" t="s">
        <v>14</v>
      </c>
      <c r="G6" s="12">
        <f>G1*G1/D5</f>
        <v>1255.6521739130435</v>
      </c>
      <c r="H6" s="13" t="s">
        <v>15</v>
      </c>
      <c r="I6" s="4" t="s">
        <v>41</v>
      </c>
      <c r="J6" s="14">
        <f>-1/(2*PI()*50*D6*10^-6)</f>
        <v>-1.1368210220849666</v>
      </c>
      <c r="K6" s="4" t="s">
        <v>22</v>
      </c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17" thickBot="1" x14ac:dyDescent="0.25">
      <c r="B7" s="4" t="s">
        <v>42</v>
      </c>
      <c r="D7" s="6">
        <v>100</v>
      </c>
      <c r="I7" s="15" t="s">
        <v>43</v>
      </c>
      <c r="J7" s="38">
        <f>SQRT(10^9*((D2+((J6*C11)/D4))/(2*PI()*50))/D3)</f>
        <v>49.487165930539348</v>
      </c>
      <c r="K7" s="16" t="s">
        <v>22</v>
      </c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17" thickBot="1" x14ac:dyDescent="0.25">
      <c r="B8" s="42" t="s">
        <v>60</v>
      </c>
      <c r="C8" s="42" t="s">
        <v>61</v>
      </c>
      <c r="D8" s="43">
        <f>J8*1000/50</f>
        <v>1649.5721976846451</v>
      </c>
      <c r="E8" s="42" t="s">
        <v>7</v>
      </c>
      <c r="I8" s="42" t="s">
        <v>58</v>
      </c>
      <c r="J8" s="44">
        <f>(0.001)/SQRT(D3*(0.000000001)*D2/(2*PI()*50))</f>
        <v>82.478609884232256</v>
      </c>
      <c r="K8" s="42" t="s">
        <v>59</v>
      </c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7" thickBot="1" x14ac:dyDescent="0.25">
      <c r="A9" s="107" t="s">
        <v>44</v>
      </c>
      <c r="B9" s="107"/>
      <c r="C9" s="107"/>
      <c r="D9" s="107" t="s">
        <v>45</v>
      </c>
      <c r="E9" s="107"/>
      <c r="F9" s="107"/>
      <c r="G9" s="107"/>
      <c r="H9" s="107"/>
      <c r="I9" s="107" t="s">
        <v>46</v>
      </c>
      <c r="J9" s="107"/>
      <c r="K9" s="107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x14ac:dyDescent="0.2">
      <c r="A10" s="17" t="s">
        <v>47</v>
      </c>
      <c r="B10" s="18" t="s">
        <v>48</v>
      </c>
      <c r="C10" s="19" t="s">
        <v>49</v>
      </c>
      <c r="D10" s="17" t="s">
        <v>50</v>
      </c>
      <c r="E10" s="20" t="s">
        <v>51</v>
      </c>
      <c r="F10" s="20" t="s">
        <v>52</v>
      </c>
      <c r="G10" s="20" t="s">
        <v>53</v>
      </c>
      <c r="H10" s="19" t="s">
        <v>54</v>
      </c>
      <c r="I10" s="17" t="s">
        <v>55</v>
      </c>
      <c r="J10" s="20" t="s">
        <v>56</v>
      </c>
      <c r="K10" s="19" t="s">
        <v>57</v>
      </c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x14ac:dyDescent="0.2">
      <c r="A11" s="21">
        <v>0</v>
      </c>
      <c r="B11" s="104">
        <v>0</v>
      </c>
      <c r="C11" s="23">
        <f t="shared" ref="C11:C71" si="0">IF(MOD(A11+$D$7,$D$7)+1=$D$7,1,0)</f>
        <v>0</v>
      </c>
      <c r="D11" s="21">
        <f>D5</f>
        <v>115</v>
      </c>
      <c r="E11" s="24"/>
      <c r="F11" s="22">
        <f t="shared" ref="F11:F71" si="1">SQRT(D11^2+E11^2)</f>
        <v>115</v>
      </c>
      <c r="G11" s="22">
        <f>F11/$D$5</f>
        <v>1</v>
      </c>
      <c r="H11" s="23">
        <f t="shared" ref="H11:H71" si="2">COS(ATAN(E11/D11))</f>
        <v>1</v>
      </c>
      <c r="I11" s="21" t="str">
        <f>COMPLEX(D11,E11)</f>
        <v>115</v>
      </c>
      <c r="J11" s="14" t="str">
        <f>IMDIV(IMPRODUCT($J$5,I11), IMSUM(I11,$J$5))</f>
        <v>114,974967623026-1,696495426499i</v>
      </c>
      <c r="K11" s="25" t="str">
        <f>COMPLEX(J1,J2)</f>
        <v>0,0180036+0,314222097212051i</v>
      </c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x14ac:dyDescent="0.2">
      <c r="A12" s="21">
        <v>1</v>
      </c>
      <c r="B12" s="104">
        <f t="shared" ref="B12:B71" si="3">A12*$D$4</f>
        <v>1.667</v>
      </c>
      <c r="C12" s="23">
        <f t="shared" si="0"/>
        <v>0</v>
      </c>
      <c r="D12" s="26">
        <f>IMREAL(I12)</f>
        <v>114.992971223026</v>
      </c>
      <c r="E12" s="27">
        <f>IMAGINARY(I12)</f>
        <v>-1.38227332928695</v>
      </c>
      <c r="F12" s="22">
        <f>SQRT(D12^2+E12^2)</f>
        <v>115.00127873313646</v>
      </c>
      <c r="G12" s="22">
        <f t="shared" ref="G12:G71" si="4">F12/$D$5</f>
        <v>1.0000111194185779</v>
      </c>
      <c r="H12" s="23">
        <f t="shared" si="2"/>
        <v>0.99992776158489738</v>
      </c>
      <c r="I12" s="28" t="str">
        <f>IMSUM(J11,K11)</f>
        <v>114,992971223026-1,38227332928695i</v>
      </c>
      <c r="J12" s="14" t="str">
        <f t="shared" ref="J12:J71" si="5">IMDIV(IMPRODUCT($J$5,I12), IMSUM(I12,$J$5))</f>
        <v>114,927182680062-3,07741422867832i</v>
      </c>
      <c r="K12" s="25" t="str">
        <f t="shared" ref="K12:K71" si="6">IMSUM($K$11, COMPLEX(0,C11*$J$6))</f>
        <v>0,0180036+0,314222097212051i</v>
      </c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x14ac:dyDescent="0.2">
      <c r="A13" s="21">
        <v>2</v>
      </c>
      <c r="B13" s="104">
        <f t="shared" si="3"/>
        <v>3.3340000000000001</v>
      </c>
      <c r="C13" s="23">
        <f t="shared" si="0"/>
        <v>0</v>
      </c>
      <c r="D13" s="26">
        <f t="shared" ref="D13:D71" si="7">IMREAL(I13)</f>
        <v>114.945186280062</v>
      </c>
      <c r="E13" s="27">
        <f t="shared" ref="E13:E71" si="8">IMAGINARY(I13)</f>
        <v>-2.76319213146627</v>
      </c>
      <c r="F13" s="22">
        <f t="shared" si="1"/>
        <v>114.97839396909991</v>
      </c>
      <c r="G13" s="22">
        <f t="shared" si="4"/>
        <v>0.99981212147043397</v>
      </c>
      <c r="H13" s="23">
        <f t="shared" si="2"/>
        <v>0.99971118322415575</v>
      </c>
      <c r="I13" s="28" t="str">
        <f t="shared" ref="I13:I71" si="9">IMSUM(J12,K12)</f>
        <v>114,945186280062-2,76319213146627i</v>
      </c>
      <c r="J13" s="14" t="str">
        <f t="shared" si="5"/>
        <v>114,838763568551-4,45529058932235i</v>
      </c>
      <c r="K13" s="25" t="str">
        <f t="shared" si="6"/>
        <v>0,0180036+0,314222097212051i</v>
      </c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x14ac:dyDescent="0.2">
      <c r="A14" s="21">
        <v>3</v>
      </c>
      <c r="B14" s="104">
        <f t="shared" si="3"/>
        <v>5.0010000000000003</v>
      </c>
      <c r="C14" s="23">
        <f t="shared" si="0"/>
        <v>0</v>
      </c>
      <c r="D14" s="26">
        <f t="shared" si="7"/>
        <v>114.856767168551</v>
      </c>
      <c r="E14" s="27">
        <f t="shared" si="8"/>
        <v>-4.1410684921102998</v>
      </c>
      <c r="F14" s="22">
        <f t="shared" si="1"/>
        <v>114.93139437363092</v>
      </c>
      <c r="G14" s="22">
        <f t="shared" si="4"/>
        <v>0.99940342933592108</v>
      </c>
      <c r="H14" s="23">
        <f t="shared" si="2"/>
        <v>0.99935068041689878</v>
      </c>
      <c r="I14" s="28" t="str">
        <f t="shared" si="9"/>
        <v>114,856767168551-4,1410684921103i</v>
      </c>
      <c r="J14" s="14" t="str">
        <f t="shared" si="5"/>
        <v>114,709924740646-5,82844817339905i</v>
      </c>
      <c r="K14" s="25" t="str">
        <f t="shared" si="6"/>
        <v>0,0180036+0,314222097212051i</v>
      </c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x14ac:dyDescent="0.2">
      <c r="A15" s="21">
        <v>4</v>
      </c>
      <c r="B15" s="104">
        <f t="shared" si="3"/>
        <v>6.6680000000000001</v>
      </c>
      <c r="C15" s="23">
        <f t="shared" si="0"/>
        <v>0</v>
      </c>
      <c r="D15" s="26">
        <f t="shared" si="7"/>
        <v>114.727928340646</v>
      </c>
      <c r="E15" s="27">
        <f t="shared" si="8"/>
        <v>-5.5142260761869997</v>
      </c>
      <c r="F15" s="22">
        <f t="shared" si="1"/>
        <v>114.86036840684304</v>
      </c>
      <c r="G15" s="22">
        <f t="shared" si="4"/>
        <v>0.99878581223341767</v>
      </c>
      <c r="H15" s="23">
        <f t="shared" si="2"/>
        <v>0.99884694722789047</v>
      </c>
      <c r="I15" s="28" t="str">
        <f t="shared" si="9"/>
        <v>114,727928340646-5,514226076187i</v>
      </c>
      <c r="J15" s="14" t="str">
        <f t="shared" si="5"/>
        <v>114,540971887224-7,19522852045409i</v>
      </c>
      <c r="K15" s="25" t="str">
        <f t="shared" si="6"/>
        <v>0,0180036+0,314222097212051i</v>
      </c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x14ac:dyDescent="0.2">
      <c r="A16" s="21">
        <v>5</v>
      </c>
      <c r="B16" s="104">
        <f t="shared" si="3"/>
        <v>8.3350000000000009</v>
      </c>
      <c r="C16" s="23">
        <f t="shared" si="0"/>
        <v>0</v>
      </c>
      <c r="D16" s="26">
        <f t="shared" si="7"/>
        <v>114.558975487224</v>
      </c>
      <c r="E16" s="27">
        <f t="shared" si="8"/>
        <v>-6.8810064232420398</v>
      </c>
      <c r="F16" s="22">
        <f t="shared" si="1"/>
        <v>114.76544390224389</v>
      </c>
      <c r="G16" s="22">
        <f t="shared" si="4"/>
        <v>0.99796038175864255</v>
      </c>
      <c r="H16" s="23">
        <f t="shared" si="2"/>
        <v>0.99820095310923251</v>
      </c>
      <c r="I16" s="28" t="str">
        <f t="shared" si="9"/>
        <v>114,558975487224-6,88100642324204i</v>
      </c>
      <c r="J16" s="14" t="str">
        <f t="shared" si="5"/>
        <v>114,332300212231-8,55399719832534i</v>
      </c>
      <c r="K16" s="25" t="str">
        <f t="shared" si="6"/>
        <v>0,0180036+0,314222097212051i</v>
      </c>
    </row>
    <row r="17" spans="1:11" x14ac:dyDescent="0.2">
      <c r="A17" s="21">
        <v>6</v>
      </c>
      <c r="B17" s="104">
        <f t="shared" si="3"/>
        <v>10.002000000000001</v>
      </c>
      <c r="C17" s="23">
        <f t="shared" si="0"/>
        <v>0</v>
      </c>
      <c r="D17" s="26">
        <f t="shared" si="7"/>
        <v>114.350303812231</v>
      </c>
      <c r="E17" s="27">
        <f t="shared" si="8"/>
        <v>-8.23977510111329</v>
      </c>
      <c r="F17" s="22">
        <f t="shared" si="1"/>
        <v>114.64678746334961</v>
      </c>
      <c r="G17" s="22">
        <f t="shared" si="4"/>
        <v>0.99692858663782269</v>
      </c>
      <c r="H17" s="23">
        <f t="shared" si="2"/>
        <v>0.99741393843056092</v>
      </c>
      <c r="I17" s="28" t="str">
        <f t="shared" si="9"/>
        <v>114,350303812231-8,23977510111329i</v>
      </c>
      <c r="J17" s="14" t="str">
        <f t="shared" si="5"/>
        <v>114,084392215466-9,90314976787949i</v>
      </c>
      <c r="K17" s="25" t="str">
        <f t="shared" si="6"/>
        <v>0,0180036+0,314222097212051i</v>
      </c>
    </row>
    <row r="18" spans="1:11" x14ac:dyDescent="0.2">
      <c r="A18" s="21">
        <v>7</v>
      </c>
      <c r="B18" s="104">
        <f t="shared" si="3"/>
        <v>11.669</v>
      </c>
      <c r="C18" s="23">
        <f t="shared" si="0"/>
        <v>0</v>
      </c>
      <c r="D18" s="26">
        <f t="shared" si="7"/>
        <v>114.102395815466</v>
      </c>
      <c r="E18" s="27">
        <f t="shared" si="8"/>
        <v>-9.5889276706674398</v>
      </c>
      <c r="F18" s="22">
        <f t="shared" si="1"/>
        <v>114.50460368344393</v>
      </c>
      <c r="G18" s="22">
        <f t="shared" si="4"/>
        <v>0.99569220594299068</v>
      </c>
      <c r="H18" s="23">
        <f t="shared" si="2"/>
        <v>0.99648740875877906</v>
      </c>
      <c r="I18" s="28" t="str">
        <f t="shared" si="9"/>
        <v>114,102395815466-9,58892767066744i</v>
      </c>
      <c r="J18" s="14" t="str">
        <f t="shared" si="5"/>
        <v>113,797815006907-11,2411175137946i</v>
      </c>
      <c r="K18" s="25" t="str">
        <f t="shared" si="6"/>
        <v>0,0180036+0,314222097212051i</v>
      </c>
    </row>
    <row r="19" spans="1:11" x14ac:dyDescent="0.2">
      <c r="A19" s="21">
        <v>8</v>
      </c>
      <c r="B19" s="104">
        <f t="shared" si="3"/>
        <v>13.336</v>
      </c>
      <c r="C19" s="23">
        <f t="shared" si="0"/>
        <v>0</v>
      </c>
      <c r="D19" s="26">
        <f t="shared" si="7"/>
        <v>113.815818606907</v>
      </c>
      <c r="E19" s="27">
        <f t="shared" si="8"/>
        <v>-10.9268954165825</v>
      </c>
      <c r="F19" s="22">
        <f t="shared" si="1"/>
        <v>114.33913419562565</v>
      </c>
      <c r="G19" s="22">
        <f t="shared" si="4"/>
        <v>0.99425334083152739</v>
      </c>
      <c r="H19" s="23">
        <f t="shared" si="2"/>
        <v>0.99542312793952692</v>
      </c>
      <c r="I19" s="28" t="str">
        <f t="shared" si="9"/>
        <v>113,815818606907-10,9268954165825i</v>
      </c>
      <c r="J19" s="14" t="str">
        <f t="shared" si="5"/>
        <v>113,473217180247-12,5663728995185i</v>
      </c>
      <c r="K19" s="25" t="str">
        <f t="shared" si="6"/>
        <v>0,0180036+0,314222097212051i</v>
      </c>
    </row>
    <row r="20" spans="1:11" x14ac:dyDescent="0.2">
      <c r="A20" s="21">
        <v>9</v>
      </c>
      <c r="B20" s="104">
        <f t="shared" si="3"/>
        <v>15.003</v>
      </c>
      <c r="C20" s="23">
        <f t="shared" si="0"/>
        <v>0</v>
      </c>
      <c r="D20" s="26">
        <f t="shared" si="7"/>
        <v>113.491220780247</v>
      </c>
      <c r="E20" s="27">
        <f t="shared" si="8"/>
        <v>-12.252150802306399</v>
      </c>
      <c r="F20" s="22">
        <f t="shared" si="1"/>
        <v>114.15065656172648</v>
      </c>
      <c r="G20" s="22">
        <f t="shared" si="4"/>
        <v>0.99261440488457808</v>
      </c>
      <c r="H20" s="23">
        <f t="shared" si="2"/>
        <v>0.99422311004297304</v>
      </c>
      <c r="I20" s="28" t="str">
        <f t="shared" si="9"/>
        <v>113,491220780247-12,2521508023064i</v>
      </c>
      <c r="J20" s="14" t="str">
        <f t="shared" si="5"/>
        <v>113,111325277451-13,8774347081452i</v>
      </c>
      <c r="K20" s="25" t="str">
        <f t="shared" si="6"/>
        <v>0,0180036+0,314222097212051i</v>
      </c>
    </row>
    <row r="21" spans="1:11" x14ac:dyDescent="0.2">
      <c r="A21" s="21">
        <v>10</v>
      </c>
      <c r="B21" s="104">
        <f t="shared" si="3"/>
        <v>16.670000000000002</v>
      </c>
      <c r="C21" s="23">
        <f t="shared" si="0"/>
        <v>0</v>
      </c>
      <c r="D21" s="26">
        <f t="shared" si="7"/>
        <v>113.129328877451</v>
      </c>
      <c r="E21" s="27">
        <f t="shared" si="8"/>
        <v>-13.5632126109331</v>
      </c>
      <c r="F21" s="22">
        <f t="shared" si="1"/>
        <v>113.9394830100253</v>
      </c>
      <c r="G21" s="22">
        <f t="shared" si="4"/>
        <v>0.99077811313065478</v>
      </c>
      <c r="H21" s="23">
        <f t="shared" si="2"/>
        <v>0.992889610245967</v>
      </c>
      <c r="I21" s="28" t="str">
        <f t="shared" si="9"/>
        <v>113,129328877451-13,5632126109331i</v>
      </c>
      <c r="J21" s="14" t="str">
        <f t="shared" si="5"/>
        <v>112,712939879762-15,1728728350008i</v>
      </c>
      <c r="K21" s="25" t="str">
        <f t="shared" si="6"/>
        <v>0,0180036+0,314222097212051i</v>
      </c>
    </row>
    <row r="22" spans="1:11" x14ac:dyDescent="0.2">
      <c r="A22" s="21">
        <v>11</v>
      </c>
      <c r="B22" s="104">
        <f t="shared" si="3"/>
        <v>18.337</v>
      </c>
      <c r="C22" s="23">
        <f t="shared" si="0"/>
        <v>0</v>
      </c>
      <c r="D22" s="26">
        <f t="shared" si="7"/>
        <v>112.730943479762</v>
      </c>
      <c r="E22" s="27">
        <f t="shared" si="8"/>
        <v>-14.8586507377888</v>
      </c>
      <c r="F22" s="22">
        <f t="shared" si="1"/>
        <v>113.70595903287078</v>
      </c>
      <c r="G22" s="22">
        <f t="shared" si="4"/>
        <v>0.98874746985105022</v>
      </c>
      <c r="H22" s="23">
        <f t="shared" si="2"/>
        <v>0.99142511473099748</v>
      </c>
      <c r="I22" s="28" t="str">
        <f t="shared" si="9"/>
        <v>112,730943479762-14,8586507377888i</v>
      </c>
      <c r="J22" s="14" t="str">
        <f t="shared" si="5"/>
        <v>112,278931363636-16,4513127021385i</v>
      </c>
      <c r="K22" s="25" t="str">
        <f t="shared" si="6"/>
        <v>0,0180036+0,314222097212051i</v>
      </c>
    </row>
    <row r="23" spans="1:11" x14ac:dyDescent="0.2">
      <c r="A23" s="21">
        <v>12</v>
      </c>
      <c r="B23" s="104">
        <f t="shared" si="3"/>
        <v>20.004000000000001</v>
      </c>
      <c r="C23" s="23">
        <f t="shared" si="0"/>
        <v>0</v>
      </c>
      <c r="D23" s="26">
        <f t="shared" si="7"/>
        <v>112.29693496363601</v>
      </c>
      <c r="E23" s="27">
        <f t="shared" si="8"/>
        <v>-16.137090604926399</v>
      </c>
      <c r="F23" s="22">
        <f t="shared" si="1"/>
        <v>113.45046185634811</v>
      </c>
      <c r="G23" s="22">
        <f t="shared" si="4"/>
        <v>0.98652575527259234</v>
      </c>
      <c r="H23" s="23">
        <f t="shared" si="2"/>
        <v>0.98983232968965151</v>
      </c>
      <c r="I23" s="28" t="str">
        <f t="shared" si="9"/>
        <v>112,296934963636-16,1370906049264i</v>
      </c>
      <c r="J23" s="14" t="str">
        <f t="shared" si="5"/>
        <v>111,810235362551-17,7114392696225i</v>
      </c>
      <c r="K23" s="25" t="str">
        <f t="shared" si="6"/>
        <v>0,0180036+0,314222097212051i</v>
      </c>
    </row>
    <row r="24" spans="1:11" x14ac:dyDescent="0.2">
      <c r="A24" s="21">
        <v>13</v>
      </c>
      <c r="B24" s="104">
        <f t="shared" si="3"/>
        <v>21.670999999999999</v>
      </c>
      <c r="C24" s="23">
        <f t="shared" si="0"/>
        <v>0</v>
      </c>
      <c r="D24" s="26">
        <f t="shared" si="7"/>
        <v>111.828238962551</v>
      </c>
      <c r="E24" s="27">
        <f t="shared" si="8"/>
        <v>-17.3972171724104</v>
      </c>
      <c r="F24" s="22">
        <f t="shared" si="1"/>
        <v>113.17339879498813</v>
      </c>
      <c r="G24" s="22">
        <f t="shared" si="4"/>
        <v>0.98411651126076638</v>
      </c>
      <c r="H24" s="23">
        <f t="shared" si="2"/>
        <v>0.98811416952429021</v>
      </c>
      <c r="I24" s="28" t="str">
        <f t="shared" si="9"/>
        <v>111,828238962551-17,3972171724104i</v>
      </c>
      <c r="J24" s="14" t="str">
        <f t="shared" si="5"/>
        <v>111,307847977482-18,9520006233513i</v>
      </c>
      <c r="K24" s="25" t="str">
        <f t="shared" si="6"/>
        <v>0,0180036+0,314222097212051i</v>
      </c>
    </row>
    <row r="25" spans="1:11" x14ac:dyDescent="0.2">
      <c r="A25" s="21">
        <v>14</v>
      </c>
      <c r="B25" s="104">
        <f t="shared" si="3"/>
        <v>23.338000000000001</v>
      </c>
      <c r="C25" s="23">
        <f t="shared" si="0"/>
        <v>0</v>
      </c>
      <c r="D25" s="26">
        <f t="shared" si="7"/>
        <v>111.325851577482</v>
      </c>
      <c r="E25" s="27">
        <f t="shared" si="8"/>
        <v>-18.637778526139201</v>
      </c>
      <c r="F25" s="22">
        <f t="shared" si="1"/>
        <v>112.87520550519926</v>
      </c>
      <c r="G25" s="22">
        <f t="shared" si="4"/>
        <v>0.98152352613216753</v>
      </c>
      <c r="H25" s="23">
        <f t="shared" si="2"/>
        <v>0.9862737443463977</v>
      </c>
      <c r="I25" s="28" t="str">
        <f t="shared" si="9"/>
        <v>111,325851577482-18,6377785261392i</v>
      </c>
      <c r="J25" s="14" t="str">
        <f t="shared" si="5"/>
        <v>110,772820780048-20,1718111241405i</v>
      </c>
      <c r="K25" s="25" t="str">
        <f t="shared" si="6"/>
        <v>0,0180036+0,314222097212051i</v>
      </c>
    </row>
    <row r="26" spans="1:11" x14ac:dyDescent="0.2">
      <c r="A26" s="21">
        <v>15</v>
      </c>
      <c r="B26" s="104">
        <f t="shared" si="3"/>
        <v>25.004999999999999</v>
      </c>
      <c r="C26" s="23">
        <f t="shared" si="0"/>
        <v>0</v>
      </c>
      <c r="D26" s="26">
        <f t="shared" si="7"/>
        <v>110.79082438004799</v>
      </c>
      <c r="E26" s="27">
        <f t="shared" si="8"/>
        <v>-19.857589026928402</v>
      </c>
      <c r="F26" s="22">
        <f t="shared" si="1"/>
        <v>112.55634415159824</v>
      </c>
      <c r="G26" s="22">
        <f t="shared" si="4"/>
        <v>0.97875081870954994</v>
      </c>
      <c r="H26" s="23">
        <f t="shared" si="2"/>
        <v>0.98431434687348829</v>
      </c>
      <c r="I26" s="28" t="str">
        <f t="shared" si="9"/>
        <v>110,790824380048-19,8575890269284i</v>
      </c>
      <c r="J26" s="14" t="str">
        <f t="shared" si="5"/>
        <v>110,206255652938-21,3697541077729i</v>
      </c>
      <c r="K26" s="25" t="str">
        <f t="shared" si="6"/>
        <v>0,0180036+0,314222097212051i</v>
      </c>
    </row>
    <row r="27" spans="1:11" x14ac:dyDescent="0.2">
      <c r="A27" s="21">
        <v>16</v>
      </c>
      <c r="B27" s="104">
        <f t="shared" si="3"/>
        <v>26.672000000000001</v>
      </c>
      <c r="C27" s="23">
        <f t="shared" si="0"/>
        <v>0</v>
      </c>
      <c r="D27" s="26">
        <f t="shared" si="7"/>
        <v>110.224259252938</v>
      </c>
      <c r="E27" s="27">
        <f t="shared" si="8"/>
        <v>-21.0555320105608</v>
      </c>
      <c r="F27" s="22">
        <f t="shared" si="1"/>
        <v>112.217301500734</v>
      </c>
      <c r="G27" s="22">
        <f t="shared" si="4"/>
        <v>0.97580262174551302</v>
      </c>
      <c r="H27" s="23">
        <f t="shared" si="2"/>
        <v>0.98223943882857523</v>
      </c>
      <c r="I27" s="28" t="str">
        <f t="shared" si="9"/>
        <v>110,224259252938-21,0555320105608i</v>
      </c>
      <c r="J27" s="14" t="str">
        <f t="shared" si="5"/>
        <v>109,609299512217-22,544784130645i</v>
      </c>
      <c r="K27" s="25" t="str">
        <f t="shared" si="6"/>
        <v>0,0180036+0,314222097212051i</v>
      </c>
    </row>
    <row r="28" spans="1:11" x14ac:dyDescent="0.2">
      <c r="A28" s="21">
        <v>17</v>
      </c>
      <c r="B28" s="104">
        <f t="shared" si="3"/>
        <v>28.339000000000002</v>
      </c>
      <c r="C28" s="23">
        <f t="shared" si="0"/>
        <v>0</v>
      </c>
      <c r="D28" s="26">
        <f t="shared" si="7"/>
        <v>109.62730311221701</v>
      </c>
      <c r="E28" s="27">
        <f t="shared" si="8"/>
        <v>-22.2305620334329</v>
      </c>
      <c r="F28" s="22">
        <f t="shared" si="1"/>
        <v>111.85858695683677</v>
      </c>
      <c r="G28" s="22">
        <f t="shared" si="4"/>
        <v>0.97268336484205886</v>
      </c>
      <c r="H28" s="23">
        <f t="shared" si="2"/>
        <v>0.98005263694703426</v>
      </c>
      <c r="I28" s="28" t="str">
        <f t="shared" si="9"/>
        <v>109,627303112217-22,2305620334329i</v>
      </c>
      <c r="J28" s="14" t="str">
        <f t="shared" si="5"/>
        <v>108,983138955538-23,695928760417i</v>
      </c>
      <c r="K28" s="25" t="str">
        <f t="shared" si="6"/>
        <v>0,0180036+0,314222097212051i</v>
      </c>
    </row>
    <row r="29" spans="1:11" x14ac:dyDescent="0.2">
      <c r="A29" s="21">
        <v>18</v>
      </c>
      <c r="B29" s="104">
        <f t="shared" si="3"/>
        <v>30.006</v>
      </c>
      <c r="C29" s="23">
        <f t="shared" si="0"/>
        <v>0</v>
      </c>
      <c r="D29" s="26">
        <f t="shared" si="7"/>
        <v>109.001142555538</v>
      </c>
      <c r="E29" s="27">
        <f t="shared" si="8"/>
        <v>-23.381706663204898</v>
      </c>
      <c r="F29" s="22">
        <f t="shared" si="1"/>
        <v>111.48073055419434</v>
      </c>
      <c r="G29" s="22">
        <f t="shared" si="4"/>
        <v>0.96939765699299429</v>
      </c>
      <c r="H29" s="23">
        <f t="shared" si="2"/>
        <v>0.97775769869528328</v>
      </c>
      <c r="I29" s="28" t="str">
        <f t="shared" si="9"/>
        <v>109,001142555538-23,3817066632049i</v>
      </c>
      <c r="J29" s="14" t="str">
        <f t="shared" si="5"/>
        <v>108,328994879157-24,8222899156419i</v>
      </c>
      <c r="K29" s="25" t="str">
        <f t="shared" si="6"/>
        <v>0,0180036+0,314222097212051i</v>
      </c>
    </row>
    <row r="30" spans="1:11" x14ac:dyDescent="0.2">
      <c r="A30" s="21">
        <v>19</v>
      </c>
      <c r="B30" s="104">
        <f t="shared" si="3"/>
        <v>31.673000000000002</v>
      </c>
      <c r="C30" s="23">
        <f t="shared" si="0"/>
        <v>0</v>
      </c>
      <c r="D30" s="26">
        <f t="shared" si="7"/>
        <v>108.34699847915699</v>
      </c>
      <c r="E30" s="27">
        <f t="shared" si="8"/>
        <v>-24.508067818429801</v>
      </c>
      <c r="F30" s="22">
        <f t="shared" si="1"/>
        <v>111.0842809205479</v>
      </c>
      <c r="G30" s="22">
        <f t="shared" si="4"/>
        <v>0.96595026887432955</v>
      </c>
      <c r="H30" s="23">
        <f t="shared" si="2"/>
        <v>0.97535850780409938</v>
      </c>
      <c r="I30" s="28" t="str">
        <f t="shared" si="9"/>
        <v>108,346998479157-24,5080678184298i</v>
      </c>
      <c r="J30" s="14" t="str">
        <f t="shared" si="5"/>
        <v>107,648117105037-25,9230447626423i</v>
      </c>
      <c r="K30" s="25" t="str">
        <f t="shared" si="6"/>
        <v>0,0180036+0,314222097212051i</v>
      </c>
    </row>
    <row r="31" spans="1:11" x14ac:dyDescent="0.2">
      <c r="A31" s="21">
        <v>20</v>
      </c>
      <c r="B31" s="104">
        <f t="shared" si="3"/>
        <v>33.340000000000003</v>
      </c>
      <c r="C31" s="23">
        <f t="shared" si="0"/>
        <v>0</v>
      </c>
      <c r="D31" s="26">
        <f t="shared" si="7"/>
        <v>107.666120705037</v>
      </c>
      <c r="E31" s="27">
        <f t="shared" si="8"/>
        <v>-25.6088226654302</v>
      </c>
      <c r="F31" s="22">
        <f t="shared" si="1"/>
        <v>110.66980322554589</v>
      </c>
      <c r="G31" s="22">
        <f t="shared" si="4"/>
        <v>0.96234611500474687</v>
      </c>
      <c r="H31" s="23">
        <f t="shared" si="2"/>
        <v>0.97285905971670184</v>
      </c>
      <c r="I31" s="28" t="str">
        <f t="shared" si="9"/>
        <v>107,666120705037-25,6088226654302i</v>
      </c>
      <c r="J31" s="14" t="str">
        <f t="shared" si="5"/>
        <v>106,941779057289-26,997446181871i</v>
      </c>
      <c r="K31" s="25" t="str">
        <f t="shared" si="6"/>
        <v>0,0180036+0,314222097212051i</v>
      </c>
    </row>
    <row r="32" spans="1:11" x14ac:dyDescent="0.2">
      <c r="A32" s="21">
        <v>21</v>
      </c>
      <c r="B32" s="104">
        <f t="shared" si="3"/>
        <v>35.006999999999998</v>
      </c>
      <c r="C32" s="23">
        <f t="shared" si="0"/>
        <v>0</v>
      </c>
      <c r="D32" s="26">
        <f t="shared" si="7"/>
        <v>106.959782657289</v>
      </c>
      <c r="E32" s="27">
        <f t="shared" si="8"/>
        <v>-26.683224084658899</v>
      </c>
      <c r="F32" s="22">
        <f t="shared" si="1"/>
        <v>110.2378771278122</v>
      </c>
      <c r="G32" s="22">
        <f t="shared" si="4"/>
        <v>0.95859023589401915</v>
      </c>
      <c r="H32" s="23">
        <f t="shared" si="2"/>
        <v>0.9702634470480368</v>
      </c>
      <c r="I32" s="28" t="str">
        <f t="shared" si="9"/>
        <v>106,959782657289-26,6832240846589i</v>
      </c>
      <c r="J32" s="14" t="str">
        <f t="shared" si="5"/>
        <v>106,211272524747-28,0448228195907i</v>
      </c>
      <c r="K32" s="25" t="str">
        <f t="shared" si="6"/>
        <v>0,0180036+0,314222097212051i</v>
      </c>
    </row>
    <row r="33" spans="1:11" x14ac:dyDescent="0.2">
      <c r="A33" s="21">
        <v>22</v>
      </c>
      <c r="B33" s="104">
        <f t="shared" si="3"/>
        <v>36.673999999999999</v>
      </c>
      <c r="C33" s="23">
        <f t="shared" si="0"/>
        <v>0</v>
      </c>
      <c r="D33" s="26">
        <f t="shared" si="7"/>
        <v>106.229276124747</v>
      </c>
      <c r="E33" s="27">
        <f t="shared" si="8"/>
        <v>-27.7306007223786</v>
      </c>
      <c r="F33" s="22">
        <f t="shared" si="1"/>
        <v>109.78909473354686</v>
      </c>
      <c r="G33" s="22">
        <f t="shared" si="4"/>
        <v>0.95468778029171186</v>
      </c>
      <c r="H33" s="23">
        <f t="shared" si="2"/>
        <v>0.96757584514710337</v>
      </c>
      <c r="I33" s="28" t="str">
        <f t="shared" si="9"/>
        <v>106,229276124747-27,7306007223786i</v>
      </c>
      <c r="J33" s="14" t="str">
        <f t="shared" si="5"/>
        <v>105,457902543734-29,0645787439015i</v>
      </c>
      <c r="K33" s="25" t="str">
        <f t="shared" si="6"/>
        <v>0,0180036+0,314222097212051i</v>
      </c>
    </row>
    <row r="34" spans="1:11" x14ac:dyDescent="0.2">
      <c r="A34" s="21">
        <v>23</v>
      </c>
      <c r="B34" s="104">
        <f t="shared" si="3"/>
        <v>38.341000000000001</v>
      </c>
      <c r="C34" s="23">
        <f t="shared" si="0"/>
        <v>0</v>
      </c>
      <c r="D34" s="26">
        <f t="shared" si="7"/>
        <v>105.47590614373399</v>
      </c>
      <c r="E34" s="27">
        <f t="shared" si="8"/>
        <v>-28.750356646689401</v>
      </c>
      <c r="F34" s="22">
        <f t="shared" si="1"/>
        <v>109.3240585788582</v>
      </c>
      <c r="G34" s="22">
        <f t="shared" si="4"/>
        <v>0.95064398764224523</v>
      </c>
      <c r="H34" s="23">
        <f t="shared" si="2"/>
        <v>0.96480049784880206</v>
      </c>
      <c r="I34" s="28" t="str">
        <f t="shared" si="9"/>
        <v>105,475906143734-28,7503566466894i</v>
      </c>
      <c r="J34" s="14" t="str">
        <f t="shared" si="5"/>
        <v>104,682982432063-30,0561927269174i</v>
      </c>
      <c r="K34" s="25" t="str">
        <f t="shared" si="6"/>
        <v>0,0180036+0,314222097212051i</v>
      </c>
    </row>
    <row r="35" spans="1:11" x14ac:dyDescent="0.2">
      <c r="A35" s="21">
        <v>24</v>
      </c>
      <c r="B35" s="104">
        <f t="shared" si="3"/>
        <v>40.008000000000003</v>
      </c>
      <c r="C35" s="23">
        <f t="shared" si="0"/>
        <v>0</v>
      </c>
      <c r="D35" s="26">
        <f t="shared" si="7"/>
        <v>104.700986032063</v>
      </c>
      <c r="E35" s="27">
        <f t="shared" si="8"/>
        <v>-29.7419706297053</v>
      </c>
      <c r="F35" s="22">
        <f t="shared" si="1"/>
        <v>108.84337964719997</v>
      </c>
      <c r="G35" s="22">
        <f t="shared" si="4"/>
        <v>0.94646417084521706</v>
      </c>
      <c r="H35" s="23">
        <f t="shared" si="2"/>
        <v>0.96194170349575747</v>
      </c>
      <c r="I35" s="28" t="str">
        <f t="shared" si="9"/>
        <v>104,700986032063-29,7419706297053i</v>
      </c>
      <c r="J35" s="14" t="str">
        <f t="shared" si="5"/>
        <v>103,887829002111-31,019217177219i</v>
      </c>
      <c r="K35" s="25" t="str">
        <f t="shared" si="6"/>
        <v>0,0180036+0,314222097212051i</v>
      </c>
    </row>
    <row r="36" spans="1:11" x14ac:dyDescent="0.2">
      <c r="A36" s="21">
        <v>25</v>
      </c>
      <c r="B36" s="104">
        <f t="shared" si="3"/>
        <v>41.675000000000004</v>
      </c>
      <c r="C36" s="23">
        <f t="shared" si="0"/>
        <v>0</v>
      </c>
      <c r="D36" s="26">
        <f t="shared" si="7"/>
        <v>103.905832602111</v>
      </c>
      <c r="E36" s="27">
        <f t="shared" si="8"/>
        <v>-30.704995080006899</v>
      </c>
      <c r="F36" s="22">
        <f t="shared" si="1"/>
        <v>108.3476754323837</v>
      </c>
      <c r="G36" s="22">
        <f t="shared" si="4"/>
        <v>0.94215369941203209</v>
      </c>
      <c r="H36" s="23">
        <f t="shared" si="2"/>
        <v>0.95900380130402796</v>
      </c>
      <c r="I36" s="28" t="str">
        <f t="shared" si="9"/>
        <v>103,905832602111-30,7049950800069i</v>
      </c>
      <c r="J36" s="14" t="str">
        <f t="shared" si="5"/>
        <v>103,073757977475-31,9532767485991i</v>
      </c>
      <c r="K36" s="25" t="str">
        <f t="shared" si="6"/>
        <v>0,0180036+0,314222097212051i</v>
      </c>
    </row>
    <row r="37" spans="1:11" x14ac:dyDescent="0.2">
      <c r="A37" s="21">
        <v>26</v>
      </c>
      <c r="B37" s="104">
        <f t="shared" si="3"/>
        <v>43.341999999999999</v>
      </c>
      <c r="C37" s="23">
        <f t="shared" si="0"/>
        <v>0</v>
      </c>
      <c r="D37" s="26">
        <f t="shared" si="7"/>
        <v>103.091761577475</v>
      </c>
      <c r="E37" s="27">
        <f t="shared" si="8"/>
        <v>-31.639054651386999</v>
      </c>
      <c r="F37" s="22">
        <f t="shared" si="1"/>
        <v>107.83756805668608</v>
      </c>
      <c r="G37" s="22">
        <f t="shared" si="4"/>
        <v>0.93771798310161814</v>
      </c>
      <c r="H37" s="23">
        <f t="shared" si="2"/>
        <v>0.95599115813965319</v>
      </c>
      <c r="I37" s="28" t="str">
        <f t="shared" si="9"/>
        <v>103,091761577475-31,639054651387i</v>
      </c>
      <c r="J37" s="14" t="str">
        <f t="shared" si="5"/>
        <v>102,242079634314-32,8580666525592i</v>
      </c>
      <c r="K37" s="25" t="str">
        <f t="shared" si="6"/>
        <v>0,0180036+0,314222097212051i</v>
      </c>
    </row>
    <row r="38" spans="1:11" x14ac:dyDescent="0.2">
      <c r="A38" s="21">
        <v>27</v>
      </c>
      <c r="B38" s="104">
        <f t="shared" si="3"/>
        <v>45.009</v>
      </c>
      <c r="C38" s="23">
        <f t="shared" si="0"/>
        <v>0</v>
      </c>
      <c r="D38" s="26">
        <f t="shared" si="7"/>
        <v>102.260083234314</v>
      </c>
      <c r="E38" s="27">
        <f t="shared" si="8"/>
        <v>-32.5438445553471</v>
      </c>
      <c r="F38" s="22">
        <f t="shared" si="1"/>
        <v>107.31368245257183</v>
      </c>
      <c r="G38" s="22">
        <f t="shared" si="4"/>
        <v>0.93316245610932025</v>
      </c>
      <c r="H38" s="23">
        <f t="shared" si="2"/>
        <v>0.95290815576577281</v>
      </c>
      <c r="I38" s="28" t="str">
        <f t="shared" si="9"/>
        <v>102,260083234314-32,5438445553471i</v>
      </c>
      <c r="J38" s="14" t="str">
        <f t="shared" si="5"/>
        <v>101,394094685052-33,7333507030348i</v>
      </c>
      <c r="K38" s="25" t="str">
        <f t="shared" si="6"/>
        <v>0,0180036+0,314222097212051i</v>
      </c>
    </row>
    <row r="39" spans="1:11" x14ac:dyDescent="0.2">
      <c r="A39" s="21">
        <v>28</v>
      </c>
      <c r="B39" s="104">
        <f t="shared" si="3"/>
        <v>46.676000000000002</v>
      </c>
      <c r="C39" s="23">
        <f t="shared" si="0"/>
        <v>0</v>
      </c>
      <c r="D39" s="26">
        <f t="shared" si="7"/>
        <v>101.412098285052</v>
      </c>
      <c r="E39" s="27">
        <f t="shared" si="8"/>
        <v>-33.419128605822699</v>
      </c>
      <c r="F39" s="22">
        <f t="shared" si="1"/>
        <v>106.77664461552237</v>
      </c>
      <c r="G39" s="22">
        <f t="shared" si="4"/>
        <v>0.92849256187410756</v>
      </c>
      <c r="H39" s="23">
        <f t="shared" si="2"/>
        <v>0.94975917861263714</v>
      </c>
      <c r="I39" s="28" t="str">
        <f t="shared" si="9"/>
        <v>101,412098285052-33,4191286058227i</v>
      </c>
      <c r="J39" s="14" t="str">
        <f t="shared" si="5"/>
        <v>100,531090418749-34,5789591224317i</v>
      </c>
      <c r="K39" s="25" t="str">
        <f t="shared" si="6"/>
        <v>0,0180036+0,314222097212051i</v>
      </c>
    </row>
    <row r="40" spans="1:11" x14ac:dyDescent="0.2">
      <c r="A40" s="21">
        <v>29</v>
      </c>
      <c r="B40" s="104">
        <f t="shared" si="3"/>
        <v>48.343000000000004</v>
      </c>
      <c r="C40" s="23">
        <f t="shared" si="0"/>
        <v>0</v>
      </c>
      <c r="D40" s="26">
        <f t="shared" si="7"/>
        <v>100.549094018749</v>
      </c>
      <c r="E40" s="27">
        <f t="shared" si="8"/>
        <v>-34.264737025219603</v>
      </c>
      <c r="F40" s="22">
        <f t="shared" si="1"/>
        <v>106.22707993444365</v>
      </c>
      <c r="G40" s="22">
        <f t="shared" si="4"/>
        <v>0.92371373856037953</v>
      </c>
      <c r="H40" s="23">
        <f t="shared" si="2"/>
        <v>0.94654860211540481</v>
      </c>
      <c r="I40" s="28" t="str">
        <f t="shared" si="9"/>
        <v>100,549094018749-34,2647370252196i</v>
      </c>
      <c r="J40" s="14" t="str">
        <f t="shared" si="5"/>
        <v>99,6543371091343-35,3947861382787i</v>
      </c>
      <c r="K40" s="25" t="str">
        <f t="shared" si="6"/>
        <v>0,0180036+0,314222097212051i</v>
      </c>
    </row>
    <row r="41" spans="1:11" x14ac:dyDescent="0.2">
      <c r="A41" s="21">
        <v>30</v>
      </c>
      <c r="B41" s="104">
        <f t="shared" si="3"/>
        <v>50.01</v>
      </c>
      <c r="C41" s="23">
        <f t="shared" si="0"/>
        <v>0</v>
      </c>
      <c r="D41" s="26">
        <f t="shared" si="7"/>
        <v>99.672340709134303</v>
      </c>
      <c r="E41" s="27">
        <f t="shared" si="8"/>
        <v>-35.080564041066602</v>
      </c>
      <c r="F41" s="22">
        <f t="shared" si="1"/>
        <v>105.66561160508714</v>
      </c>
      <c r="G41" s="22">
        <f t="shared" si="4"/>
        <v>0.91883140526162732</v>
      </c>
      <c r="H41" s="23">
        <f t="shared" si="2"/>
        <v>0.94328078165721518</v>
      </c>
      <c r="I41" s="28" t="str">
        <f t="shared" si="9"/>
        <v>99,6723407091343-35,0805640410666i</v>
      </c>
      <c r="J41" s="14" t="str">
        <f t="shared" si="5"/>
        <v>98,7650846981189-36,1807873996635i</v>
      </c>
      <c r="K41" s="25" t="str">
        <f t="shared" si="6"/>
        <v>0,0180036+0,314222097212051i</v>
      </c>
    </row>
    <row r="42" spans="1:11" x14ac:dyDescent="0.2">
      <c r="A42" s="21">
        <v>31</v>
      </c>
      <c r="B42" s="104">
        <f t="shared" si="3"/>
        <v>51.677</v>
      </c>
      <c r="C42" s="23">
        <f t="shared" si="0"/>
        <v>0</v>
      </c>
      <c r="D42" s="26">
        <f t="shared" si="7"/>
        <v>98.783088298118898</v>
      </c>
      <c r="E42" s="27">
        <f t="shared" si="8"/>
        <v>-35.866565302451399</v>
      </c>
      <c r="F42" s="22">
        <f t="shared" si="1"/>
        <v>105.09285913090844</v>
      </c>
      <c r="G42" s="22">
        <f t="shared" si="4"/>
        <v>0.91385094896442121</v>
      </c>
      <c r="H42" s="23">
        <f t="shared" si="2"/>
        <v>0.93996004214777518</v>
      </c>
      <c r="I42" s="28" t="str">
        <f t="shared" si="9"/>
        <v>98,7830882981189-35,8665653024514i</v>
      </c>
      <c r="J42" s="14" t="str">
        <f t="shared" si="5"/>
        <v>97,8645597596027-36,936977242161i</v>
      </c>
      <c r="K42" s="25" t="str">
        <f t="shared" si="6"/>
        <v>0,0180036+0,314222097212051i</v>
      </c>
    </row>
    <row r="43" spans="1:11" x14ac:dyDescent="0.2">
      <c r="A43" s="21">
        <v>32</v>
      </c>
      <c r="B43" s="104">
        <f t="shared" si="3"/>
        <v>53.344000000000001</v>
      </c>
      <c r="C43" s="23">
        <f t="shared" si="0"/>
        <v>0</v>
      </c>
      <c r="D43" s="26">
        <f t="shared" si="7"/>
        <v>97.882563359602699</v>
      </c>
      <c r="E43" s="27">
        <f t="shared" si="8"/>
        <v>-36.622755144948897</v>
      </c>
      <c r="F43" s="22">
        <f t="shared" si="1"/>
        <v>104.50943691482372</v>
      </c>
      <c r="G43" s="22">
        <f t="shared" si="4"/>
        <v>0.90877771230281501</v>
      </c>
      <c r="H43" s="23">
        <f t="shared" si="2"/>
        <v>0.93659066826068549</v>
      </c>
      <c r="I43" s="28" t="str">
        <f t="shared" si="9"/>
        <v>97,8825633596027-36,6227551449489i</v>
      </c>
      <c r="J43" s="14" t="str">
        <f t="shared" si="5"/>
        <v>96,953962745546-37,6634258292111i</v>
      </c>
      <c r="K43" s="25" t="str">
        <f t="shared" si="6"/>
        <v>0,0180036+0,314222097212051i</v>
      </c>
    </row>
    <row r="44" spans="1:11" x14ac:dyDescent="0.2">
      <c r="A44" s="21">
        <v>33</v>
      </c>
      <c r="B44" s="104">
        <f t="shared" si="3"/>
        <v>55.011000000000003</v>
      </c>
      <c r="C44" s="23">
        <f t="shared" si="0"/>
        <v>0</v>
      </c>
      <c r="D44" s="26">
        <f t="shared" si="7"/>
        <v>96.971966345545994</v>
      </c>
      <c r="E44" s="27">
        <f t="shared" si="8"/>
        <v>-37.349203731998998</v>
      </c>
      <c r="F44" s="22">
        <f t="shared" si="1"/>
        <v>103.91595294436785</v>
      </c>
      <c r="G44" s="22">
        <f t="shared" si="4"/>
        <v>0.9036169821249378</v>
      </c>
      <c r="H44" s="23">
        <f t="shared" si="2"/>
        <v>0.9331768953459979</v>
      </c>
      <c r="I44" s="28" t="str">
        <f t="shared" si="9"/>
        <v>96,971966345546-37,349203731999i</v>
      </c>
      <c r="J44" s="14" t="str">
        <f t="shared" si="5"/>
        <v>96,0344655136674-38,360256196902i</v>
      </c>
      <c r="K44" s="25" t="str">
        <f t="shared" si="6"/>
        <v>0,0180036+0,314222097212051i</v>
      </c>
    </row>
    <row r="45" spans="1:11" x14ac:dyDescent="0.2">
      <c r="A45" s="21">
        <v>34</v>
      </c>
      <c r="B45" s="104">
        <f t="shared" si="3"/>
        <v>56.678000000000004</v>
      </c>
      <c r="C45" s="23">
        <f t="shared" si="0"/>
        <v>0</v>
      </c>
      <c r="D45" s="26">
        <f t="shared" si="7"/>
        <v>96.052469113667399</v>
      </c>
      <c r="E45" s="27">
        <f t="shared" si="8"/>
        <v>-38.046034099689898</v>
      </c>
      <c r="F45" s="22">
        <f t="shared" si="1"/>
        <v>103.31300757187741</v>
      </c>
      <c r="G45" s="22">
        <f t="shared" si="4"/>
        <v>0.89837397888589055</v>
      </c>
      <c r="H45" s="23">
        <f t="shared" si="2"/>
        <v>0.92972290102813371</v>
      </c>
      <c r="I45" s="28" t="str">
        <f t="shared" si="9"/>
        <v>96,0524691136674-38,0460340996899i</v>
      </c>
      <c r="J45" s="14" t="str">
        <f t="shared" si="5"/>
        <v>95,1072091337376-39,0276412278967i</v>
      </c>
      <c r="K45" s="25" t="str">
        <f t="shared" si="6"/>
        <v>0,0180036+0,314222097212051i</v>
      </c>
    </row>
    <row r="46" spans="1:11" x14ac:dyDescent="0.2">
      <c r="A46" s="21">
        <v>35</v>
      </c>
      <c r="B46" s="104">
        <f t="shared" si="3"/>
        <v>58.344999999999999</v>
      </c>
      <c r="C46" s="23">
        <f t="shared" si="0"/>
        <v>0</v>
      </c>
      <c r="D46" s="26">
        <f t="shared" si="7"/>
        <v>95.125212733737598</v>
      </c>
      <c r="E46" s="27">
        <f t="shared" si="8"/>
        <v>-38.713419130684599</v>
      </c>
      <c r="F46" s="22">
        <f t="shared" si="1"/>
        <v>102.70119239048245</v>
      </c>
      <c r="G46" s="22">
        <f t="shared" si="4"/>
        <v>0.89305384687376044</v>
      </c>
      <c r="H46" s="23">
        <f t="shared" si="2"/>
        <v>0.92623279749333332</v>
      </c>
      <c r="I46" s="28" t="str">
        <f t="shared" si="9"/>
        <v>95,1252127337376-38,7134191306846i</v>
      </c>
      <c r="J46" s="14" t="str">
        <f t="shared" si="5"/>
        <v>94,1733019672872-39,6658005788425i</v>
      </c>
      <c r="K46" s="25" t="str">
        <f t="shared" si="6"/>
        <v>0,0180036+0,314222097212051i</v>
      </c>
    </row>
    <row r="47" spans="1:11" x14ac:dyDescent="0.2">
      <c r="A47" s="21">
        <v>36</v>
      </c>
      <c r="B47" s="104">
        <f t="shared" si="3"/>
        <v>60.012</v>
      </c>
      <c r="C47" s="23">
        <f t="shared" si="0"/>
        <v>0</v>
      </c>
      <c r="D47" s="26">
        <f t="shared" si="7"/>
        <v>94.191305567287202</v>
      </c>
      <c r="E47" s="27">
        <f t="shared" si="8"/>
        <v>-39.351578481630398</v>
      </c>
      <c r="F47" s="22">
        <f t="shared" si="1"/>
        <v>102.08108920591505</v>
      </c>
      <c r="G47" s="22">
        <f t="shared" si="4"/>
        <v>0.88766164526882652</v>
      </c>
      <c r="H47" s="23">
        <f t="shared" si="2"/>
        <v>0.92271062446529351</v>
      </c>
      <c r="I47" s="28" t="str">
        <f t="shared" si="9"/>
        <v>94,1913055672872-39,3515784816304i</v>
      </c>
      <c r="J47" s="14" t="str">
        <f t="shared" si="5"/>
        <v>93,2338180136438-40,2749975840679i</v>
      </c>
      <c r="K47" s="25" t="str">
        <f t="shared" si="6"/>
        <v>0,0180036+0,314222097212051i</v>
      </c>
    </row>
    <row r="48" spans="1:11" x14ac:dyDescent="0.2">
      <c r="A48" s="21">
        <v>37</v>
      </c>
      <c r="B48" s="104">
        <f t="shared" si="3"/>
        <v>61.679000000000002</v>
      </c>
      <c r="C48" s="23">
        <f t="shared" si="0"/>
        <v>0</v>
      </c>
      <c r="D48" s="26">
        <f t="shared" si="7"/>
        <v>93.251821613643799</v>
      </c>
      <c r="E48" s="27">
        <f t="shared" si="8"/>
        <v>-39.960775486855802</v>
      </c>
      <c r="F48" s="22">
        <f t="shared" si="1"/>
        <v>101.45326910343373</v>
      </c>
      <c r="G48" s="22">
        <f t="shared" si="4"/>
        <v>0.88220234002985853</v>
      </c>
      <c r="H48" s="23">
        <f t="shared" si="2"/>
        <v>0.91916034286260029</v>
      </c>
      <c r="I48" s="28" t="str">
        <f t="shared" si="9"/>
        <v>93,2518216136438-39,9607754868558i</v>
      </c>
      <c r="J48" s="14" t="str">
        <f t="shared" si="5"/>
        <v>92,2897955135556-40,85553615672i</v>
      </c>
      <c r="K48" s="25" t="str">
        <f t="shared" si="6"/>
        <v>0,0180036+0,314222097212051i</v>
      </c>
    </row>
    <row r="49" spans="1:11" x14ac:dyDescent="0.2">
      <c r="A49" s="21">
        <v>38</v>
      </c>
      <c r="B49" s="104">
        <f t="shared" si="3"/>
        <v>63.346000000000004</v>
      </c>
      <c r="C49" s="23">
        <f t="shared" si="0"/>
        <v>0</v>
      </c>
      <c r="D49" s="26">
        <f t="shared" si="7"/>
        <v>92.307799113555603</v>
      </c>
      <c r="E49" s="27">
        <f t="shared" si="8"/>
        <v>-40.541314059507897</v>
      </c>
      <c r="F49" s="22">
        <f t="shared" si="1"/>
        <v>100.81829160851809</v>
      </c>
      <c r="G49" s="22">
        <f t="shared" si="4"/>
        <v>0.87668079659580955</v>
      </c>
      <c r="H49" s="23">
        <f t="shared" si="2"/>
        <v>0.91558582912702879</v>
      </c>
      <c r="I49" s="28" t="str">
        <f t="shared" si="9"/>
        <v>92,3077991135556-40,5413140595079i</v>
      </c>
      <c r="J49" s="14" t="str">
        <f t="shared" si="5"/>
        <v>91,3422358002444-41,4077577067794i</v>
      </c>
      <c r="K49" s="25" t="str">
        <f t="shared" si="6"/>
        <v>0,0180036+0,314222097212051i</v>
      </c>
    </row>
    <row r="50" spans="1:11" x14ac:dyDescent="0.2">
      <c r="A50" s="21">
        <v>39</v>
      </c>
      <c r="B50" s="104">
        <f t="shared" si="3"/>
        <v>65.013000000000005</v>
      </c>
      <c r="C50" s="23">
        <f t="shared" si="0"/>
        <v>0</v>
      </c>
      <c r="D50" s="26">
        <f t="shared" si="7"/>
        <v>91.360239400244396</v>
      </c>
      <c r="E50" s="27">
        <f t="shared" si="8"/>
        <v>-41.093535609567297</v>
      </c>
      <c r="F50" s="22">
        <f t="shared" si="1"/>
        <v>100.1767039394127</v>
      </c>
      <c r="G50" s="22">
        <f t="shared" si="4"/>
        <v>0.87110177338619743</v>
      </c>
      <c r="H50" s="23">
        <f t="shared" si="2"/>
        <v>0.91199087020770275</v>
      </c>
      <c r="I50" s="28" t="str">
        <f t="shared" si="9"/>
        <v>91,3602394002444-41,0935356095673i</v>
      </c>
      <c r="J50" s="14" t="str">
        <f t="shared" si="5"/>
        <v>90,3921023865567-41,93203809362i</v>
      </c>
      <c r="K50" s="25" t="str">
        <f t="shared" si="6"/>
        <v>0,0180036+0,314222097212051i</v>
      </c>
    </row>
    <row r="51" spans="1:11" x14ac:dyDescent="0.2">
      <c r="A51" s="21">
        <v>40</v>
      </c>
      <c r="B51" s="104">
        <f t="shared" si="3"/>
        <v>66.680000000000007</v>
      </c>
      <c r="C51" s="23">
        <f t="shared" si="0"/>
        <v>0</v>
      </c>
      <c r="D51" s="26">
        <f t="shared" si="7"/>
        <v>90.410105986556701</v>
      </c>
      <c r="E51" s="27">
        <f t="shared" si="8"/>
        <v>-41.617815996407899</v>
      </c>
      <c r="F51" s="22">
        <f t="shared" si="1"/>
        <v>99.529040349092497</v>
      </c>
      <c r="G51" s="22">
        <f t="shared" si="4"/>
        <v>0.8654699160790652</v>
      </c>
      <c r="H51" s="23">
        <f t="shared" si="2"/>
        <v>0.90837915918256984</v>
      </c>
      <c r="I51" s="28" t="str">
        <f t="shared" si="9"/>
        <v>90,4101059865567-41,6178159964079i</v>
      </c>
      <c r="J51" s="14" t="str">
        <f t="shared" si="5"/>
        <v>89,4403202759364-42,4287846289996i</v>
      </c>
      <c r="K51" s="25" t="str">
        <f t="shared" si="6"/>
        <v>0,0180036+0,314222097212051i</v>
      </c>
    </row>
    <row r="52" spans="1:11" x14ac:dyDescent="0.2">
      <c r="A52" s="21">
        <v>41</v>
      </c>
      <c r="B52" s="104">
        <f t="shared" si="3"/>
        <v>68.347000000000008</v>
      </c>
      <c r="C52" s="23">
        <f t="shared" si="0"/>
        <v>0</v>
      </c>
      <c r="D52" s="26">
        <f t="shared" si="7"/>
        <v>89.458323875936401</v>
      </c>
      <c r="E52" s="27">
        <f t="shared" si="8"/>
        <v>-42.114562531787499</v>
      </c>
      <c r="F52" s="22">
        <f t="shared" si="1"/>
        <v>98.875821553784178</v>
      </c>
      <c r="G52" s="22">
        <f t="shared" si="4"/>
        <v>0.85978975264160151</v>
      </c>
      <c r="H52" s="23">
        <f t="shared" si="2"/>
        <v>0.90475429149556985</v>
      </c>
      <c r="I52" s="28" t="str">
        <f t="shared" si="9"/>
        <v>89,4583238759364-42,1145625317875i</v>
      </c>
      <c r="J52" s="14" t="str">
        <f t="shared" si="5"/>
        <v>88,4877754842112-42,8984331445919i</v>
      </c>
      <c r="K52" s="25" t="str">
        <f t="shared" si="6"/>
        <v>0,0180036+0,314222097212051i</v>
      </c>
    </row>
    <row r="53" spans="1:11" x14ac:dyDescent="0.2">
      <c r="A53" s="21">
        <v>42</v>
      </c>
      <c r="B53" s="104">
        <f t="shared" si="3"/>
        <v>70.013999999999996</v>
      </c>
      <c r="C53" s="23">
        <f t="shared" si="0"/>
        <v>0</v>
      </c>
      <c r="D53" s="26">
        <f t="shared" si="7"/>
        <v>88.505779084211198</v>
      </c>
      <c r="E53" s="27">
        <f t="shared" si="8"/>
        <v>-42.584211047379803</v>
      </c>
      <c r="F53" s="22">
        <f t="shared" si="1"/>
        <v>98.217554244803821</v>
      </c>
      <c r="G53" s="22">
        <f t="shared" si="4"/>
        <v>0.8540656890852506</v>
      </c>
      <c r="H53" s="23">
        <f t="shared" si="2"/>
        <v>0.90111976178528774</v>
      </c>
      <c r="I53" s="28" t="str">
        <f t="shared" si="9"/>
        <v>88,5057790842112-42,5842110473798i</v>
      </c>
      <c r="J53" s="14" t="str">
        <f t="shared" si="5"/>
        <v>87,5353147586617-43,3414451364246i</v>
      </c>
      <c r="K53" s="25" t="str">
        <f t="shared" si="6"/>
        <v>0,0180036+0,314222097212051i</v>
      </c>
    </row>
    <row r="54" spans="1:11" x14ac:dyDescent="0.2">
      <c r="A54" s="21">
        <v>43</v>
      </c>
      <c r="B54" s="104">
        <f t="shared" si="3"/>
        <v>71.680999999999997</v>
      </c>
      <c r="C54" s="23">
        <f t="shared" si="0"/>
        <v>0</v>
      </c>
      <c r="D54" s="26">
        <f t="shared" si="7"/>
        <v>87.553318358661699</v>
      </c>
      <c r="E54" s="27">
        <f t="shared" si="8"/>
        <v>-43.0272230392126</v>
      </c>
      <c r="F54" s="22">
        <f t="shared" si="1"/>
        <v>97.554730680163928</v>
      </c>
      <c r="G54" s="22">
        <f t="shared" si="4"/>
        <v>0.84830200591446892</v>
      </c>
      <c r="H54" s="23">
        <f t="shared" si="2"/>
        <v>0.89747896127874982</v>
      </c>
      <c r="I54" s="28" t="str">
        <f t="shared" si="9"/>
        <v>87,5533183586617-43,0272230392126i</v>
      </c>
      <c r="J54" s="14" t="str">
        <f t="shared" si="5"/>
        <v>86,5837454804997-43,7583049968892i</v>
      </c>
      <c r="K54" s="25" t="str">
        <f t="shared" si="6"/>
        <v>0,0180036+0,314222097212051i</v>
      </c>
    </row>
    <row r="55" spans="1:11" x14ac:dyDescent="0.2">
      <c r="A55" s="21">
        <v>44</v>
      </c>
      <c r="B55" s="104">
        <f t="shared" si="3"/>
        <v>73.347999999999999</v>
      </c>
      <c r="C55" s="23">
        <f t="shared" si="0"/>
        <v>0</v>
      </c>
      <c r="D55" s="26">
        <f t="shared" si="7"/>
        <v>86.601749080499701</v>
      </c>
      <c r="E55" s="27">
        <f t="shared" si="8"/>
        <v>-43.444082899677099</v>
      </c>
      <c r="F55" s="22">
        <f t="shared" si="1"/>
        <v>96.887828352150862</v>
      </c>
      <c r="G55" s="22">
        <f t="shared" si="4"/>
        <v>0.84250285523609447</v>
      </c>
      <c r="H55" s="23">
        <f t="shared" si="2"/>
        <v>0.89383517572232996</v>
      </c>
      <c r="I55" s="28" t="str">
        <f t="shared" si="9"/>
        <v>86,6017490804997-43,4440828996771i</v>
      </c>
      <c r="J55" s="14" t="str">
        <f t="shared" si="5"/>
        <v>85,6338357367199-44,1495173433563i</v>
      </c>
      <c r="K55" s="25" t="str">
        <f t="shared" si="6"/>
        <v>0,0180036+0,314222097212051i</v>
      </c>
    </row>
    <row r="56" spans="1:11" x14ac:dyDescent="0.2">
      <c r="A56" s="21">
        <v>45</v>
      </c>
      <c r="B56" s="104">
        <f t="shared" si="3"/>
        <v>75.015000000000001</v>
      </c>
      <c r="C56" s="23">
        <f t="shared" si="0"/>
        <v>0</v>
      </c>
      <c r="D56" s="26">
        <f t="shared" si="7"/>
        <v>85.651839336719902</v>
      </c>
      <c r="E56" s="27">
        <f t="shared" si="8"/>
        <v>-43.835295246144199</v>
      </c>
      <c r="F56" s="22">
        <f t="shared" si="1"/>
        <v>96.217309726888075</v>
      </c>
      <c r="G56" s="22">
        <f t="shared" si="4"/>
        <v>0.83667225849467897</v>
      </c>
      <c r="H56" s="23">
        <f t="shared" si="2"/>
        <v>0.89019158382043562</v>
      </c>
      <c r="I56" s="28" t="str">
        <f t="shared" si="9"/>
        <v>85,6518393367199-43,8352952461442i</v>
      </c>
      <c r="J56" s="14" t="str">
        <f t="shared" si="5"/>
        <v>84,6863145472723-44,515604450872i</v>
      </c>
      <c r="K56" s="25" t="str">
        <f t="shared" si="6"/>
        <v>0,0180036+0,314222097212051i</v>
      </c>
    </row>
    <row r="57" spans="1:11" x14ac:dyDescent="0.2">
      <c r="A57" s="21">
        <v>46</v>
      </c>
      <c r="B57" s="104">
        <f t="shared" si="3"/>
        <v>76.682000000000002</v>
      </c>
      <c r="C57" s="23">
        <f t="shared" si="0"/>
        <v>0</v>
      </c>
      <c r="D57" s="26">
        <f t="shared" si="7"/>
        <v>84.704318147272303</v>
      </c>
      <c r="E57" s="27">
        <f t="shared" si="8"/>
        <v>-44.201382353659902</v>
      </c>
      <c r="F57" s="22">
        <f t="shared" si="1"/>
        <v>95.543622051755818</v>
      </c>
      <c r="G57" s="22">
        <f t="shared" si="4"/>
        <v>0.83081410479787665</v>
      </c>
      <c r="H57" s="23">
        <f t="shared" si="2"/>
        <v>0.88655125615175145</v>
      </c>
      <c r="I57" s="28" t="str">
        <f t="shared" si="9"/>
        <v>84,7043181472723-44,2013823536599i</v>
      </c>
      <c r="J57" s="14" t="str">
        <f t="shared" si="5"/>
        <v>83,7418722336282-44,8571037949386i</v>
      </c>
      <c r="K57" s="25" t="str">
        <f t="shared" si="6"/>
        <v>0,0180036+0,314222097212051i</v>
      </c>
    </row>
    <row r="58" spans="1:11" x14ac:dyDescent="0.2">
      <c r="A58" s="21">
        <v>47</v>
      </c>
      <c r="B58" s="104">
        <f t="shared" si="3"/>
        <v>78.349000000000004</v>
      </c>
      <c r="C58" s="23">
        <f t="shared" si="0"/>
        <v>0</v>
      </c>
      <c r="D58" s="26">
        <f t="shared" si="7"/>
        <v>83.7598758336282</v>
      </c>
      <c r="E58" s="27">
        <f t="shared" si="8"/>
        <v>-44.5428816977265</v>
      </c>
      <c r="F58" s="22">
        <f t="shared" si="1"/>
        <v>94.867197226451623</v>
      </c>
      <c r="G58" s="22">
        <f t="shared" si="4"/>
        <v>0.82493214979523155</v>
      </c>
      <c r="H58" s="23">
        <f t="shared" si="2"/>
        <v>0.88291715453224762</v>
      </c>
      <c r="I58" s="28" t="str">
        <f t="shared" si="9"/>
        <v>83,7598758336282-44,5428816977265i</v>
      </c>
      <c r="J58" s="14" t="str">
        <f t="shared" si="5"/>
        <v>82,8011609150592-45,1745657090113i</v>
      </c>
      <c r="K58" s="25" t="str">
        <f t="shared" si="6"/>
        <v>0,0180036+0,314222097212051i</v>
      </c>
    </row>
    <row r="59" spans="1:11" x14ac:dyDescent="0.2">
      <c r="A59" s="21">
        <v>48</v>
      </c>
      <c r="B59" s="104">
        <f t="shared" si="3"/>
        <v>80.016000000000005</v>
      </c>
      <c r="C59" s="23">
        <f t="shared" si="0"/>
        <v>0</v>
      </c>
      <c r="D59" s="26">
        <f t="shared" si="7"/>
        <v>82.8191645150592</v>
      </c>
      <c r="E59" s="27">
        <f t="shared" si="8"/>
        <v>-44.860343611799202</v>
      </c>
      <c r="F59" s="22">
        <f t="shared" si="1"/>
        <v>94.188451733432444</v>
      </c>
      <c r="G59" s="22">
        <f t="shared" si="4"/>
        <v>0.81903001507332562</v>
      </c>
      <c r="H59" s="23">
        <f t="shared" si="2"/>
        <v>0.87929213179392685</v>
      </c>
      <c r="I59" s="28" t="str">
        <f t="shared" si="9"/>
        <v>82,8191645150592-44,8603436117992i</v>
      </c>
      <c r="J59" s="14" t="str">
        <f t="shared" si="5"/>
        <v>81,864795119293-45,4685511600639i</v>
      </c>
      <c r="K59" s="25" t="str">
        <f t="shared" si="6"/>
        <v>0,0180036+0,314222097212051i</v>
      </c>
    </row>
    <row r="60" spans="1:11" x14ac:dyDescent="0.2">
      <c r="A60" s="21">
        <v>49</v>
      </c>
      <c r="B60" s="104">
        <f t="shared" si="3"/>
        <v>81.683000000000007</v>
      </c>
      <c r="C60" s="23">
        <f t="shared" si="0"/>
        <v>0</v>
      </c>
      <c r="D60" s="26">
        <f t="shared" si="7"/>
        <v>81.882798719293007</v>
      </c>
      <c r="E60" s="27">
        <f t="shared" si="8"/>
        <v>-45.1543290628519</v>
      </c>
      <c r="F60" s="22">
        <f t="shared" si="1"/>
        <v>93.507786623470906</v>
      </c>
      <c r="G60" s="22">
        <f t="shared" si="4"/>
        <v>0.81311118803018179</v>
      </c>
      <c r="H60" s="23">
        <f t="shared" si="2"/>
        <v>0.87567893194832647</v>
      </c>
      <c r="I60" s="28" t="str">
        <f t="shared" si="9"/>
        <v>81,882798719293-45,1543290628519i</v>
      </c>
      <c r="J60" s="14" t="str">
        <f t="shared" si="5"/>
        <v>80,9333524946478-45,7396296444051i</v>
      </c>
      <c r="K60" s="25" t="str">
        <f t="shared" si="6"/>
        <v>0,0180036+0,314222097212051i</v>
      </c>
    </row>
    <row r="61" spans="1:11" x14ac:dyDescent="0.2">
      <c r="A61" s="21">
        <v>50</v>
      </c>
      <c r="B61" s="104">
        <f t="shared" si="3"/>
        <v>83.350000000000009</v>
      </c>
      <c r="C61" s="23">
        <f t="shared" si="0"/>
        <v>0</v>
      </c>
      <c r="D61" s="26">
        <f t="shared" si="7"/>
        <v>80.951356094647807</v>
      </c>
      <c r="E61" s="27">
        <f t="shared" si="8"/>
        <v>-45.425407547192997</v>
      </c>
      <c r="F61" s="22">
        <f t="shared" si="1"/>
        <v>92.825587552091761</v>
      </c>
      <c r="G61" s="22">
        <f t="shared" si="4"/>
        <v>0.80717902219210225</v>
      </c>
      <c r="H61" s="23">
        <f t="shared" si="2"/>
        <v>0.87208019070409459</v>
      </c>
      <c r="I61" s="28" t="str">
        <f t="shared" si="9"/>
        <v>80,9513560946478-45,425407547193i</v>
      </c>
      <c r="J61" s="14" t="str">
        <f t="shared" si="5"/>
        <v>80,0073746112539-45,9883772048594i</v>
      </c>
      <c r="K61" s="25" t="str">
        <f t="shared" si="6"/>
        <v>0,0180036+0,314222097212051i</v>
      </c>
    </row>
    <row r="62" spans="1:11" x14ac:dyDescent="0.2">
      <c r="A62" s="21">
        <v>51</v>
      </c>
      <c r="B62" s="104">
        <f t="shared" si="3"/>
        <v>85.016999999999996</v>
      </c>
      <c r="C62" s="23">
        <f t="shared" si="0"/>
        <v>0</v>
      </c>
      <c r="D62" s="26">
        <f t="shared" si="7"/>
        <v>80.025378211253894</v>
      </c>
      <c r="E62" s="27">
        <f t="shared" si="8"/>
        <v>-45.674155107647302</v>
      </c>
      <c r="F62" s="22">
        <f t="shared" si="1"/>
        <v>92.142224862717811</v>
      </c>
      <c r="G62" s="22">
        <f t="shared" si="4"/>
        <v>0.8012367379366766</v>
      </c>
      <c r="H62" s="23">
        <f t="shared" si="2"/>
        <v>0.86849843630847046</v>
      </c>
      <c r="I62" s="28" t="str">
        <f t="shared" si="9"/>
        <v>80,0253782112539-45,6741551076473i</v>
      </c>
      <c r="J62" s="14" t="str">
        <f t="shared" si="5"/>
        <v>79,0873678395359-46,2153745694636i</v>
      </c>
      <c r="K62" s="25" t="str">
        <f t="shared" si="6"/>
        <v>0,0180036+0,314222097212051i</v>
      </c>
    </row>
    <row r="63" spans="1:11" x14ac:dyDescent="0.2">
      <c r="A63" s="21">
        <v>52</v>
      </c>
      <c r="B63" s="104">
        <f t="shared" si="3"/>
        <v>86.683999999999997</v>
      </c>
      <c r="C63" s="23">
        <f t="shared" si="0"/>
        <v>0</v>
      </c>
      <c r="D63" s="26">
        <f t="shared" si="7"/>
        <v>79.105371439535901</v>
      </c>
      <c r="E63" s="27">
        <f t="shared" si="8"/>
        <v>-45.901152472251503</v>
      </c>
      <c r="F63" s="22">
        <f t="shared" si="1"/>
        <v>91.458053712441426</v>
      </c>
      <c r="G63" s="22">
        <f t="shared" si="4"/>
        <v>0.79528742358644722</v>
      </c>
      <c r="H63" s="23">
        <f t="shared" si="2"/>
        <v>0.8649360906832293</v>
      </c>
      <c r="I63" s="28" t="str">
        <f t="shared" si="9"/>
        <v>79,1053714395359-45,9011524722515i</v>
      </c>
      <c r="J63" s="14" t="str">
        <f t="shared" si="5"/>
        <v>78,1738042947403-46,4212054109679i</v>
      </c>
      <c r="K63" s="25" t="str">
        <f t="shared" si="6"/>
        <v>0,0180036+0,314222097212051i</v>
      </c>
    </row>
    <row r="64" spans="1:11" x14ac:dyDescent="0.2">
      <c r="A64" s="21">
        <v>53</v>
      </c>
      <c r="B64" s="104">
        <f t="shared" si="3"/>
        <v>88.350999999999999</v>
      </c>
      <c r="C64" s="23">
        <f t="shared" si="0"/>
        <v>0</v>
      </c>
      <c r="D64" s="26">
        <f t="shared" si="7"/>
        <v>78.191807894740293</v>
      </c>
      <c r="E64" s="27">
        <f t="shared" si="8"/>
        <v>-46.106983313755798</v>
      </c>
      <c r="F64" s="22">
        <f t="shared" si="1"/>
        <v>90.773414236454315</v>
      </c>
      <c r="G64" s="22">
        <f t="shared" si="4"/>
        <v>0.78933403683873316</v>
      </c>
      <c r="H64" s="23">
        <f t="shared" si="2"/>
        <v>0.86139547082650902</v>
      </c>
      <c r="I64" s="28" t="str">
        <f t="shared" si="9"/>
        <v>78,1918078947403-46,1069833137558i</v>
      </c>
      <c r="J64" s="14" t="str">
        <f t="shared" si="5"/>
        <v>77,2671228369346-46,6064547256722i</v>
      </c>
      <c r="K64" s="25" t="str">
        <f t="shared" si="6"/>
        <v>0,0180036+0,314222097212051i</v>
      </c>
    </row>
    <row r="65" spans="1:16" x14ac:dyDescent="0.2">
      <c r="A65" s="21">
        <v>54</v>
      </c>
      <c r="B65" s="104">
        <f t="shared" si="3"/>
        <v>90.018000000000001</v>
      </c>
      <c r="C65" s="23">
        <f t="shared" si="0"/>
        <v>0</v>
      </c>
      <c r="D65" s="26">
        <f t="shared" si="7"/>
        <v>77.285126436934604</v>
      </c>
      <c r="E65" s="27">
        <f t="shared" si="8"/>
        <v>-46.292232628460098</v>
      </c>
      <c r="F65" s="22">
        <f t="shared" si="1"/>
        <v>90.088631747298905</v>
      </c>
      <c r="G65" s="22">
        <f t="shared" si="4"/>
        <v>0.78337940649825133</v>
      </c>
      <c r="H65" s="23">
        <f t="shared" si="2"/>
        <v>0.85787879045295645</v>
      </c>
      <c r="I65" s="28" t="str">
        <f t="shared" si="9"/>
        <v>77,2851264369346-46,2922326284601i</v>
      </c>
      <c r="J65" s="14" t="str">
        <f t="shared" si="5"/>
        <v>76,3677301165706-46,7717073294621i</v>
      </c>
      <c r="K65" s="25" t="str">
        <f t="shared" si="6"/>
        <v>0,0180036+0,314222097212051i</v>
      </c>
    </row>
    <row r="66" spans="1:16" x14ac:dyDescent="0.2">
      <c r="A66" s="21">
        <v>55</v>
      </c>
      <c r="B66" s="104">
        <f t="shared" si="3"/>
        <v>91.685000000000002</v>
      </c>
      <c r="C66" s="23">
        <f t="shared" si="0"/>
        <v>0</v>
      </c>
      <c r="D66" s="26">
        <f t="shared" si="7"/>
        <v>76.385733716570599</v>
      </c>
      <c r="E66" s="27">
        <f t="shared" si="8"/>
        <v>-46.4574852322501</v>
      </c>
      <c r="F66" s="22">
        <f t="shared" si="1"/>
        <v>89.404016965254797</v>
      </c>
      <c r="G66" s="22">
        <f t="shared" si="4"/>
        <v>0.77742623448047654</v>
      </c>
      <c r="H66" s="23">
        <f t="shared" si="2"/>
        <v>0.85438816184575339</v>
      </c>
      <c r="I66" s="28" t="str">
        <f t="shared" si="9"/>
        <v>76,3857337165706-46,4574852322501i</v>
      </c>
      <c r="J66" s="14" t="str">
        <f t="shared" si="5"/>
        <v>75,4760016563787-46,9175464683375i</v>
      </c>
      <c r="K66" s="25" t="str">
        <f t="shared" si="6"/>
        <v>0,0180036+0,314222097212051i</v>
      </c>
    </row>
    <row r="67" spans="1:16" x14ac:dyDescent="0.2">
      <c r="A67" s="21">
        <v>56</v>
      </c>
      <c r="B67" s="104">
        <f t="shared" si="3"/>
        <v>93.352000000000004</v>
      </c>
      <c r="C67" s="23">
        <f t="shared" si="0"/>
        <v>0</v>
      </c>
      <c r="D67" s="26">
        <f t="shared" si="7"/>
        <v>75.494005256378699</v>
      </c>
      <c r="E67" s="27">
        <f t="shared" si="8"/>
        <v>-46.603324371125403</v>
      </c>
      <c r="F67" s="22">
        <f t="shared" si="1"/>
        <v>88.71986627633332</v>
      </c>
      <c r="G67" s="22">
        <f t="shared" si="4"/>
        <v>0.77147709805507236</v>
      </c>
      <c r="H67" s="23">
        <f t="shared" si="2"/>
        <v>0.85092559789528543</v>
      </c>
      <c r="I67" s="28" t="str">
        <f t="shared" si="9"/>
        <v>75,4940052563787-46,6033243711254i</v>
      </c>
      <c r="J67" s="14" t="str">
        <f t="shared" si="5"/>
        <v>74,5922829610409-47,0445525402391i</v>
      </c>
      <c r="K67" s="25" t="str">
        <f t="shared" si="6"/>
        <v>0,0180036+0,314222097212051i</v>
      </c>
    </row>
    <row r="68" spans="1:16" x14ac:dyDescent="0.2">
      <c r="A68" s="21">
        <v>57</v>
      </c>
      <c r="B68" s="104">
        <f t="shared" si="3"/>
        <v>95.019000000000005</v>
      </c>
      <c r="C68" s="23">
        <f t="shared" si="0"/>
        <v>0</v>
      </c>
      <c r="D68" s="26">
        <f t="shared" si="7"/>
        <v>74.610286561040894</v>
      </c>
      <c r="E68" s="27">
        <f t="shared" si="8"/>
        <v>-46.7303304430271</v>
      </c>
      <c r="F68" s="22">
        <f t="shared" si="1"/>
        <v>88.036462014526379</v>
      </c>
      <c r="G68" s="22">
        <f t="shared" si="4"/>
        <v>0.76553445230022943</v>
      </c>
      <c r="H68" s="23">
        <f t="shared" si="2"/>
        <v>0.84749301430048263</v>
      </c>
      <c r="I68" s="28" t="str">
        <f t="shared" si="9"/>
        <v>74,6102865610409-46,7303304430271i</v>
      </c>
      <c r="J68" s="14" t="str">
        <f t="shared" si="5"/>
        <v>73,7168906467672-47,1533019245762i</v>
      </c>
      <c r="K68" s="25" t="str">
        <f t="shared" si="6"/>
        <v>0,0180036+0,314222097212051i</v>
      </c>
    </row>
    <row r="69" spans="1:16" x14ac:dyDescent="0.2">
      <c r="A69" s="21">
        <v>58</v>
      </c>
      <c r="B69" s="104">
        <f t="shared" si="3"/>
        <v>96.686000000000007</v>
      </c>
      <c r="C69" s="23">
        <f t="shared" si="0"/>
        <v>0</v>
      </c>
      <c r="D69" s="26">
        <f t="shared" si="7"/>
        <v>73.734894246767198</v>
      </c>
      <c r="E69" s="27">
        <f t="shared" si="8"/>
        <v>-46.839079827364102</v>
      </c>
      <c r="F69" s="22">
        <f t="shared" si="1"/>
        <v>87.354072765132869</v>
      </c>
      <c r="G69" s="22">
        <f t="shared" si="4"/>
        <v>0.75960063274028577</v>
      </c>
      <c r="H69" s="23">
        <f t="shared" si="2"/>
        <v>0.844092231910202</v>
      </c>
      <c r="I69" s="28" t="str">
        <f t="shared" si="9"/>
        <v>73,7348942467672-46,8390798273641i</v>
      </c>
      <c r="J69" s="14" t="str">
        <f t="shared" si="5"/>
        <v>72,850113583561-47,2443659155241i</v>
      </c>
      <c r="K69" s="25" t="str">
        <f t="shared" si="6"/>
        <v>0,0180036+0,314222097212051i</v>
      </c>
    </row>
    <row r="70" spans="1:16" ht="17" thickBot="1" x14ac:dyDescent="0.25">
      <c r="A70" s="21">
        <v>59</v>
      </c>
      <c r="B70" s="104">
        <f t="shared" si="3"/>
        <v>98.353000000000009</v>
      </c>
      <c r="C70" s="23">
        <f t="shared" si="0"/>
        <v>0</v>
      </c>
      <c r="D70" s="26">
        <f t="shared" si="7"/>
        <v>72.868117183560997</v>
      </c>
      <c r="E70" s="27">
        <f t="shared" si="8"/>
        <v>-46.930143818311997</v>
      </c>
      <c r="F70" s="22">
        <f t="shared" si="1"/>
        <v>86.672953686168015</v>
      </c>
      <c r="G70" s="22">
        <f t="shared" si="4"/>
        <v>0.75367785814059141</v>
      </c>
      <c r="H70" s="23">
        <f t="shared" si="2"/>
        <v>0.84072497918332623</v>
      </c>
      <c r="I70" s="28" t="str">
        <f t="shared" si="9"/>
        <v>72,868117183561-46,930143818312i</v>
      </c>
      <c r="J70" s="14" t="str">
        <f t="shared" si="5"/>
        <v>71,9922140436114-47,3183097549038i</v>
      </c>
      <c r="K70" s="25" t="str">
        <f t="shared" si="6"/>
        <v>0,0180036+0,314222097212051i</v>
      </c>
    </row>
    <row r="71" spans="1:16" ht="17" thickBot="1" x14ac:dyDescent="0.25">
      <c r="A71" s="29">
        <v>60</v>
      </c>
      <c r="B71" s="105">
        <f t="shared" si="3"/>
        <v>100.02</v>
      </c>
      <c r="C71" s="31">
        <f t="shared" si="0"/>
        <v>0</v>
      </c>
      <c r="D71" s="32">
        <f t="shared" si="7"/>
        <v>72.010217643611398</v>
      </c>
      <c r="E71" s="33">
        <f t="shared" si="8"/>
        <v>-47.004087657691699</v>
      </c>
      <c r="F71" s="30">
        <f t="shared" si="1"/>
        <v>85.99334684504521</v>
      </c>
      <c r="G71" s="30">
        <f t="shared" si="4"/>
        <v>0.74776823343517573</v>
      </c>
      <c r="H71" s="31">
        <f t="shared" si="2"/>
        <v>0.83739289474765333</v>
      </c>
      <c r="I71" s="34" t="str">
        <f t="shared" si="9"/>
        <v>72,0102176436114-47,0040876576917i</v>
      </c>
      <c r="J71" s="35" t="str">
        <f t="shared" si="5"/>
        <v>71,1434288498772-47,3756917602559i</v>
      </c>
      <c r="K71" s="36" t="str">
        <f t="shared" si="6"/>
        <v>0,0180036+0,314222097212051i</v>
      </c>
      <c r="M71" s="96">
        <f t="shared" ref="M71" si="10">$G$1/(SQRT(3)*F71)</f>
        <v>2.5512799575924272</v>
      </c>
      <c r="N71" s="97">
        <f>$M$71*$M$71*E71*3</f>
        <v>-917.85296855635443</v>
      </c>
      <c r="O71" s="97">
        <f>$M$71*$M$71*D71*3</f>
        <v>1406.1498759834394</v>
      </c>
      <c r="P71" s="98">
        <f>SQRT(N71*N71+O71*O71)</f>
        <v>1679.1996741352573</v>
      </c>
    </row>
    <row r="72" spans="1:16" ht="17" thickBot="1" x14ac:dyDescent="0.25">
      <c r="M72" s="99" t="s">
        <v>98</v>
      </c>
      <c r="N72" s="100" t="s">
        <v>99</v>
      </c>
      <c r="O72" s="101" t="s">
        <v>100</v>
      </c>
      <c r="P72" s="102" t="s">
        <v>101</v>
      </c>
    </row>
  </sheetData>
  <mergeCells count="3">
    <mergeCell ref="A9:C9"/>
    <mergeCell ref="D9:H9"/>
    <mergeCell ref="I9:K9"/>
  </mergeCells>
  <pageMargins left="0.75" right="0.75" top="1" bottom="1" header="0.5" footer="0.5"/>
  <pageSetup paperSize="0" fitToWidth="0" fitToHeight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E535B-8849-7546-9C7D-A21E96B74DC7}">
  <dimension ref="A1:AE57"/>
  <sheetViews>
    <sheetView tabSelected="1" zoomScale="130" zoomScaleNormal="130" workbookViewId="0">
      <selection activeCell="F26" sqref="F26"/>
    </sheetView>
  </sheetViews>
  <sheetFormatPr baseColWidth="10" defaultRowHeight="16" x14ac:dyDescent="0.2"/>
  <cols>
    <col min="1" max="1" width="17" customWidth="1"/>
    <col min="2" max="2" width="15" style="1" customWidth="1"/>
    <col min="3" max="3" width="15.83203125" style="1" customWidth="1"/>
    <col min="6" max="6" width="12.1640625" bestFit="1" customWidth="1"/>
    <col min="8" max="8" width="30.6640625" customWidth="1"/>
  </cols>
  <sheetData>
    <row r="1" spans="1:5" ht="17" thickBot="1" x14ac:dyDescent="0.25">
      <c r="A1" s="77" t="s">
        <v>0</v>
      </c>
      <c r="B1" s="66" t="s">
        <v>2</v>
      </c>
      <c r="C1" s="66" t="s">
        <v>2</v>
      </c>
    </row>
    <row r="2" spans="1:5" x14ac:dyDescent="0.2">
      <c r="A2" s="57" t="s">
        <v>24</v>
      </c>
      <c r="B2" s="67">
        <v>20</v>
      </c>
      <c r="C2" s="67">
        <v>110</v>
      </c>
      <c r="D2" s="58" t="s">
        <v>25</v>
      </c>
      <c r="E2" s="59"/>
    </row>
    <row r="3" spans="1:5" x14ac:dyDescent="0.2">
      <c r="A3" s="60" t="s">
        <v>3</v>
      </c>
      <c r="B3" s="68">
        <v>125</v>
      </c>
      <c r="C3" s="68">
        <v>37</v>
      </c>
      <c r="D3" s="61" t="s">
        <v>11</v>
      </c>
      <c r="E3" s="62"/>
    </row>
    <row r="4" spans="1:5" x14ac:dyDescent="0.2">
      <c r="A4" s="60" t="s">
        <v>4</v>
      </c>
      <c r="B4" s="68">
        <v>0.33400000000000002</v>
      </c>
      <c r="C4" s="68">
        <v>0.35799999999999998</v>
      </c>
      <c r="D4" s="61" t="s">
        <v>12</v>
      </c>
      <c r="E4" s="62"/>
    </row>
    <row r="5" spans="1:5" x14ac:dyDescent="0.2">
      <c r="A5" s="60" t="s">
        <v>5</v>
      </c>
      <c r="B5" s="68">
        <v>300</v>
      </c>
      <c r="C5" s="68">
        <v>260</v>
      </c>
      <c r="D5" s="61" t="s">
        <v>13</v>
      </c>
      <c r="E5" s="62"/>
    </row>
    <row r="6" spans="1:5" ht="17" thickBot="1" x14ac:dyDescent="0.25">
      <c r="A6" s="63" t="s">
        <v>66</v>
      </c>
      <c r="B6" s="69">
        <v>14.4</v>
      </c>
      <c r="C6" s="69">
        <v>113</v>
      </c>
      <c r="D6" s="64" t="s">
        <v>15</v>
      </c>
      <c r="E6" s="65" t="s">
        <v>67</v>
      </c>
    </row>
    <row r="7" spans="1:5" x14ac:dyDescent="0.2">
      <c r="B7" s="70"/>
      <c r="C7" s="70"/>
    </row>
    <row r="8" spans="1:5" x14ac:dyDescent="0.2">
      <c r="A8" t="s">
        <v>18</v>
      </c>
      <c r="B8" s="71">
        <f>1000*B6/(SQRT(3)*B2)</f>
        <v>415.69219381653062</v>
      </c>
      <c r="C8" s="71">
        <f>1000*C6/(SQRT(3)*C2)</f>
        <v>593.09618562207015</v>
      </c>
      <c r="D8" t="s">
        <v>23</v>
      </c>
    </row>
    <row r="9" spans="1:5" x14ac:dyDescent="0.2">
      <c r="A9" s="78" t="s">
        <v>16</v>
      </c>
      <c r="B9" s="79">
        <f>1000*SQRT(B4/B5)</f>
        <v>33.366650016645863</v>
      </c>
      <c r="C9" s="80">
        <f>1000*SQRT(C4/C5)</f>
        <v>37.106914139053345</v>
      </c>
      <c r="D9" s="78" t="s">
        <v>22</v>
      </c>
      <c r="E9" s="78"/>
    </row>
    <row r="10" spans="1:5" x14ac:dyDescent="0.2">
      <c r="A10" s="78" t="s">
        <v>17</v>
      </c>
      <c r="B10" s="79">
        <f>B2*B2/B9</f>
        <v>11.988017970052406</v>
      </c>
      <c r="C10" s="79">
        <f>C2*C2/C9</f>
        <v>326.08478179179275</v>
      </c>
      <c r="D10" s="78" t="s">
        <v>26</v>
      </c>
      <c r="E10" s="78"/>
    </row>
    <row r="11" spans="1:5" x14ac:dyDescent="0.2">
      <c r="A11" t="s">
        <v>28</v>
      </c>
      <c r="B11" s="71">
        <f>B4*2*PI()*50</f>
        <v>104.92919462989909</v>
      </c>
      <c r="C11" s="71">
        <f>C4*2*PI()*50</f>
        <v>112.46901699851459</v>
      </c>
      <c r="D11" t="s">
        <v>11</v>
      </c>
    </row>
    <row r="12" spans="1:5" x14ac:dyDescent="0.2">
      <c r="A12" t="s">
        <v>27</v>
      </c>
      <c r="B12" s="71">
        <f>B11/B3</f>
        <v>0.83943355703919265</v>
      </c>
      <c r="C12" s="71">
        <f>C11/C3</f>
        <v>3.0397031621220161</v>
      </c>
    </row>
    <row r="13" spans="1:5" x14ac:dyDescent="0.2">
      <c r="A13" t="s">
        <v>65</v>
      </c>
      <c r="B13" s="72">
        <f>B6/B10</f>
        <v>1.201199400599251</v>
      </c>
      <c r="C13" s="72">
        <f>C6/C10</f>
        <v>0.34653564443909324</v>
      </c>
      <c r="D13" t="s">
        <v>70</v>
      </c>
    </row>
    <row r="14" spans="1:5" x14ac:dyDescent="0.2">
      <c r="B14" s="71"/>
      <c r="C14" s="71"/>
      <c r="D14" t="s">
        <v>67</v>
      </c>
    </row>
    <row r="15" spans="1:5" x14ac:dyDescent="0.2">
      <c r="B15" s="71"/>
      <c r="C15" s="71"/>
    </row>
    <row r="16" spans="1:5" x14ac:dyDescent="0.2">
      <c r="A16" t="s">
        <v>69</v>
      </c>
      <c r="B16" s="71"/>
      <c r="C16" s="71"/>
    </row>
    <row r="17" spans="1:30" x14ac:dyDescent="0.2">
      <c r="A17" t="s">
        <v>6</v>
      </c>
      <c r="B17" s="88">
        <v>20</v>
      </c>
      <c r="C17" s="70">
        <f>B17</f>
        <v>20</v>
      </c>
      <c r="D17" t="s">
        <v>7</v>
      </c>
    </row>
    <row r="18" spans="1:30" x14ac:dyDescent="0.2">
      <c r="A18" t="s">
        <v>19</v>
      </c>
      <c r="B18" s="70">
        <f>B3*B17</f>
        <v>2500</v>
      </c>
      <c r="C18" s="70">
        <f>C3*C17</f>
        <v>740</v>
      </c>
      <c r="D18" t="s">
        <v>8</v>
      </c>
    </row>
    <row r="19" spans="1:30" x14ac:dyDescent="0.2">
      <c r="A19" t="s">
        <v>20</v>
      </c>
      <c r="B19" s="70">
        <f>B4*B17</f>
        <v>6.6800000000000006</v>
      </c>
      <c r="C19" s="70">
        <f>C4*C17</f>
        <v>7.16</v>
      </c>
      <c r="D19" t="s">
        <v>9</v>
      </c>
    </row>
    <row r="20" spans="1:30" x14ac:dyDescent="0.2">
      <c r="A20" t="s">
        <v>21</v>
      </c>
      <c r="B20" s="70">
        <f>B5*B17</f>
        <v>6000</v>
      </c>
      <c r="C20" s="70">
        <f>C5*C17</f>
        <v>5200</v>
      </c>
      <c r="D20" t="s">
        <v>10</v>
      </c>
    </row>
    <row r="21" spans="1:30" ht="17" thickBot="1" x14ac:dyDescent="0.25">
      <c r="B21" s="70"/>
      <c r="C21" s="70"/>
    </row>
    <row r="22" spans="1:30" ht="17" thickBot="1" x14ac:dyDescent="0.25">
      <c r="A22" s="45" t="s">
        <v>64</v>
      </c>
      <c r="B22" s="73" t="s">
        <v>71</v>
      </c>
      <c r="C22" s="76"/>
      <c r="D22" s="46"/>
      <c r="H22" s="116" t="s">
        <v>87</v>
      </c>
      <c r="I22" s="117">
        <v>0</v>
      </c>
      <c r="J22" s="117">
        <v>1</v>
      </c>
      <c r="K22" s="117">
        <v>2</v>
      </c>
      <c r="L22" s="117">
        <v>3</v>
      </c>
      <c r="M22" s="117">
        <v>4</v>
      </c>
      <c r="N22" s="117">
        <v>5</v>
      </c>
      <c r="O22" s="117">
        <v>6</v>
      </c>
      <c r="P22" s="117">
        <v>7</v>
      </c>
      <c r="Q22" s="117">
        <v>8</v>
      </c>
      <c r="R22" s="117">
        <v>9</v>
      </c>
      <c r="S22" s="117">
        <v>10</v>
      </c>
      <c r="T22" s="117">
        <v>11</v>
      </c>
      <c r="U22" s="117">
        <v>12</v>
      </c>
      <c r="V22" s="117">
        <v>13</v>
      </c>
      <c r="W22" s="117">
        <v>14</v>
      </c>
      <c r="X22" s="117">
        <v>15</v>
      </c>
      <c r="Y22" s="117">
        <v>16</v>
      </c>
      <c r="Z22" s="117">
        <v>17</v>
      </c>
      <c r="AA22" s="117">
        <v>18</v>
      </c>
      <c r="AB22" s="117">
        <v>19</v>
      </c>
      <c r="AC22" s="117">
        <v>20</v>
      </c>
    </row>
    <row r="23" spans="1:30" ht="17" thickBot="1" x14ac:dyDescent="0.25">
      <c r="A23" s="45" t="s">
        <v>62</v>
      </c>
      <c r="B23" s="56">
        <f>B2*B2/B6</f>
        <v>27.777777777777779</v>
      </c>
      <c r="C23" s="56">
        <f>C2*C2/C6</f>
        <v>107.07964601769912</v>
      </c>
      <c r="D23" s="46" t="s">
        <v>22</v>
      </c>
      <c r="H23" t="s">
        <v>106</v>
      </c>
      <c r="I23" s="81">
        <v>1000000000000</v>
      </c>
      <c r="J23" s="2">
        <f>$B$2*$B$2/J22</f>
        <v>400</v>
      </c>
      <c r="K23" s="2">
        <f t="shared" ref="K23:AC23" si="0">$B$2*$B$2/K22</f>
        <v>200</v>
      </c>
      <c r="L23" s="2">
        <f t="shared" si="0"/>
        <v>133.33333333333334</v>
      </c>
      <c r="M23" s="2">
        <f t="shared" si="0"/>
        <v>100</v>
      </c>
      <c r="N23" s="2">
        <f t="shared" si="0"/>
        <v>80</v>
      </c>
      <c r="O23" s="2">
        <f t="shared" si="0"/>
        <v>66.666666666666671</v>
      </c>
      <c r="P23" s="2">
        <f t="shared" si="0"/>
        <v>57.142857142857146</v>
      </c>
      <c r="Q23" s="2">
        <f t="shared" si="0"/>
        <v>50</v>
      </c>
      <c r="R23" s="2">
        <f t="shared" si="0"/>
        <v>44.444444444444443</v>
      </c>
      <c r="S23" s="2">
        <f t="shared" si="0"/>
        <v>40</v>
      </c>
      <c r="T23" s="2">
        <f t="shared" si="0"/>
        <v>36.363636363636367</v>
      </c>
      <c r="U23" s="2">
        <f t="shared" si="0"/>
        <v>33.333333333333336</v>
      </c>
      <c r="V23" s="2">
        <f t="shared" si="0"/>
        <v>30.76923076923077</v>
      </c>
      <c r="W23" s="2">
        <f t="shared" si="0"/>
        <v>28.571428571428573</v>
      </c>
      <c r="X23" s="2">
        <f t="shared" si="0"/>
        <v>26.666666666666668</v>
      </c>
      <c r="Y23" s="115">
        <f t="shared" si="0"/>
        <v>25</v>
      </c>
      <c r="Z23" s="115">
        <f t="shared" si="0"/>
        <v>23.529411764705884</v>
      </c>
      <c r="AA23" s="115">
        <f t="shared" si="0"/>
        <v>22.222222222222221</v>
      </c>
      <c r="AB23" s="115">
        <f t="shared" si="0"/>
        <v>21.05263157894737</v>
      </c>
      <c r="AC23" s="115">
        <f t="shared" si="0"/>
        <v>20</v>
      </c>
    </row>
    <row r="24" spans="1:30" ht="17" thickBot="1" x14ac:dyDescent="0.25">
      <c r="A24" s="47"/>
      <c r="B24" s="113"/>
      <c r="C24" s="113"/>
      <c r="D24" s="48"/>
      <c r="H24" t="s">
        <v>107</v>
      </c>
      <c r="I24" s="81">
        <v>1000000000001</v>
      </c>
      <c r="J24" s="2">
        <f>$C$2*$B$2/J22</f>
        <v>2200</v>
      </c>
      <c r="K24" s="2">
        <f>$C$2*$B$2/K22</f>
        <v>1100</v>
      </c>
      <c r="L24" s="2">
        <f t="shared" ref="K24:AC24" si="1">$C$2*$B$2/L22</f>
        <v>733.33333333333337</v>
      </c>
      <c r="M24" s="2">
        <f t="shared" si="1"/>
        <v>550</v>
      </c>
      <c r="N24" s="2">
        <f t="shared" si="1"/>
        <v>440</v>
      </c>
      <c r="O24" s="2">
        <f t="shared" si="1"/>
        <v>366.66666666666669</v>
      </c>
      <c r="P24" s="2">
        <f t="shared" si="1"/>
        <v>314.28571428571428</v>
      </c>
      <c r="Q24" s="2">
        <f t="shared" si="1"/>
        <v>275</v>
      </c>
      <c r="R24" s="2">
        <f t="shared" si="1"/>
        <v>244.44444444444446</v>
      </c>
      <c r="S24" s="2">
        <f t="shared" si="1"/>
        <v>220</v>
      </c>
      <c r="T24" s="2">
        <f t="shared" si="1"/>
        <v>200</v>
      </c>
      <c r="U24" s="2">
        <f t="shared" si="1"/>
        <v>183.33333333333334</v>
      </c>
      <c r="V24" s="2">
        <f t="shared" si="1"/>
        <v>169.23076923076923</v>
      </c>
      <c r="W24" s="2">
        <f t="shared" si="1"/>
        <v>157.14285714285714</v>
      </c>
      <c r="X24" s="2">
        <f t="shared" si="1"/>
        <v>146.66666666666666</v>
      </c>
      <c r="Y24" s="2">
        <f t="shared" si="1"/>
        <v>137.5</v>
      </c>
      <c r="Z24" s="2">
        <f t="shared" si="1"/>
        <v>129.41176470588235</v>
      </c>
      <c r="AA24" s="2">
        <f t="shared" si="1"/>
        <v>122.22222222222223</v>
      </c>
      <c r="AB24" s="2">
        <f t="shared" si="1"/>
        <v>115.78947368421052</v>
      </c>
      <c r="AC24" s="2">
        <f t="shared" si="1"/>
        <v>110</v>
      </c>
    </row>
    <row r="25" spans="1:30" x14ac:dyDescent="0.2">
      <c r="A25" s="47"/>
      <c r="B25" s="70"/>
      <c r="C25" s="70"/>
      <c r="D25" s="48"/>
      <c r="H25" s="45" t="s">
        <v>108</v>
      </c>
      <c r="I25" s="108">
        <f>$B$2/(SQRT(3)*IMABS(I40))*1</f>
        <v>2.1787114202620892E-2</v>
      </c>
      <c r="J25" s="108">
        <f>$B$2/(SQRT(3)*IMABS(J40))*1</f>
        <v>3.596084962871314E-2</v>
      </c>
      <c r="K25" s="108">
        <f>$B$2/(SQRT(3)*IMABS(K40))*1</f>
        <v>6.0964782221844822E-2</v>
      </c>
      <c r="L25" s="108">
        <f t="shared" ref="L25:AC25" si="2">$B$2/(SQRT(3)*IMABS(L40))*1</f>
        <v>8.7665143644222371E-2</v>
      </c>
      <c r="M25" s="108">
        <f t="shared" si="2"/>
        <v>0.11463107978912759</v>
      </c>
      <c r="N25" s="108">
        <f t="shared" si="2"/>
        <v>0.14151122575639033</v>
      </c>
      <c r="O25" s="108">
        <f t="shared" si="2"/>
        <v>0.16818350237054516</v>
      </c>
      <c r="P25" s="108">
        <f t="shared" si="2"/>
        <v>0.19459653170061569</v>
      </c>
      <c r="Q25" s="108">
        <f t="shared" si="2"/>
        <v>0.22072638401885603</v>
      </c>
      <c r="R25" s="108">
        <f t="shared" si="2"/>
        <v>0.24656155506025129</v>
      </c>
      <c r="S25" s="108">
        <f t="shared" si="2"/>
        <v>0.27209681526194079</v>
      </c>
      <c r="T25" s="108">
        <f t="shared" si="2"/>
        <v>0.29733037208939223</v>
      </c>
      <c r="U25" s="108">
        <f t="shared" si="2"/>
        <v>0.32226243632154689</v>
      </c>
      <c r="V25" s="108">
        <f t="shared" si="2"/>
        <v>0.34689444384051749</v>
      </c>
      <c r="W25" s="108">
        <f t="shared" si="2"/>
        <v>0.37122860793096008</v>
      </c>
      <c r="X25" s="108">
        <f t="shared" si="2"/>
        <v>0.39526764898849315</v>
      </c>
      <c r="Y25" s="108">
        <f t="shared" si="2"/>
        <v>0.41901462454480504</v>
      </c>
      <c r="Z25" s="108">
        <f t="shared" si="2"/>
        <v>0.44247281857232962</v>
      </c>
      <c r="AA25" s="108">
        <f t="shared" si="2"/>
        <v>0.46564566717021222</v>
      </c>
      <c r="AB25" s="108">
        <f t="shared" si="2"/>
        <v>0.48853670732673704</v>
      </c>
      <c r="AC25" s="109">
        <f t="shared" si="2"/>
        <v>0.51114954075036223</v>
      </c>
    </row>
    <row r="26" spans="1:30" x14ac:dyDescent="0.2">
      <c r="A26" s="47" t="s">
        <v>86</v>
      </c>
      <c r="B26" s="71">
        <f>B2*B2/B23</f>
        <v>14.4</v>
      </c>
      <c r="C26" s="71">
        <f>C2*C2/C23</f>
        <v>113</v>
      </c>
      <c r="D26" s="48" t="s">
        <v>15</v>
      </c>
      <c r="H26" s="47" t="s">
        <v>109</v>
      </c>
      <c r="I26" s="3">
        <f>I$25*I$25*IMAGINARY(I$40)*3</f>
        <v>-0.75472724812008463</v>
      </c>
      <c r="J26" s="3">
        <f t="shared" ref="J26:AC26" si="3">J25*J25*IMAGINARY(J40)*3</f>
        <v>-0.7448193433865169</v>
      </c>
      <c r="K26" s="3">
        <f t="shared" si="3"/>
        <v>-0.72483470672255579</v>
      </c>
      <c r="L26" s="3">
        <f t="shared" si="3"/>
        <v>-0.69515229630549924</v>
      </c>
      <c r="M26" s="3">
        <f t="shared" si="3"/>
        <v>-0.65613998980723565</v>
      </c>
      <c r="N26" s="3">
        <f t="shared" si="3"/>
        <v>-0.60815479289426932</v>
      </c>
      <c r="O26" s="3">
        <f t="shared" si="3"/>
        <v>-0.55154305292507133</v>
      </c>
      <c r="P26" s="3">
        <f t="shared" si="3"/>
        <v>-0.48664067686260815</v>
      </c>
      <c r="Q26" s="3">
        <f t="shared" si="3"/>
        <v>-0.41377335249683989</v>
      </c>
      <c r="R26" s="3">
        <f t="shared" si="3"/>
        <v>-0.33325677214661703</v>
      </c>
      <c r="S26" s="3">
        <f t="shared" si="3"/>
        <v>-0.2453968580804167</v>
      </c>
      <c r="T26" s="3">
        <f t="shared" si="3"/>
        <v>-0.15048998896151861</v>
      </c>
      <c r="U26" s="3">
        <f t="shared" si="3"/>
        <v>-4.8823226684940511E-2</v>
      </c>
      <c r="V26" s="3">
        <f t="shared" si="3"/>
        <v>5.9325456968377058E-2</v>
      </c>
      <c r="W26" s="3">
        <f t="shared" si="3"/>
        <v>0.17368695438051263</v>
      </c>
      <c r="X26" s="3">
        <f t="shared" si="3"/>
        <v>0.29400079731814532</v>
      </c>
      <c r="Y26" s="3">
        <f t="shared" si="3"/>
        <v>0.42001493374929277</v>
      </c>
      <c r="Z26" s="3">
        <f t="shared" si="3"/>
        <v>0.55148550663338158</v>
      </c>
      <c r="AA26" s="3">
        <f t="shared" si="3"/>
        <v>0.68817663502216331</v>
      </c>
      <c r="AB26" s="3">
        <f t="shared" si="3"/>
        <v>0.82986019777101694</v>
      </c>
      <c r="AC26" s="110">
        <f t="shared" si="3"/>
        <v>0.97631562012472406</v>
      </c>
      <c r="AD26" s="84"/>
    </row>
    <row r="27" spans="1:30" ht="17" thickBot="1" x14ac:dyDescent="0.25">
      <c r="A27" s="49" t="s">
        <v>63</v>
      </c>
      <c r="B27" s="74">
        <f>$B$2/(SQRT(3)*B23)</f>
        <v>0.41569219381653055</v>
      </c>
      <c r="C27" s="74">
        <f>C2/(SQRT(3)*C23)</f>
        <v>0.59309618562207012</v>
      </c>
      <c r="D27" s="50" t="s">
        <v>37</v>
      </c>
      <c r="H27" s="47" t="s">
        <v>110</v>
      </c>
      <c r="I27" s="3">
        <f>I$25*I$25*IMREAL(I$40)*3</f>
        <v>8.9178402003099342E-4</v>
      </c>
      <c r="J27" s="3">
        <f t="shared" ref="J27:AC27" si="4">J$25*J$25*IMREAL(J$40)*3</f>
        <v>0.99853061692668144</v>
      </c>
      <c r="K27" s="3">
        <f t="shared" si="4"/>
        <v>1.983597805392713</v>
      </c>
      <c r="L27" s="3">
        <f t="shared" si="4"/>
        <v>2.9561759381227222</v>
      </c>
      <c r="M27" s="3">
        <f t="shared" si="4"/>
        <v>3.9163531069250341</v>
      </c>
      <c r="N27" s="3">
        <f t="shared" si="4"/>
        <v>4.864222462631723</v>
      </c>
      <c r="O27" s="3">
        <f t="shared" si="4"/>
        <v>5.7998817939952794</v>
      </c>
      <c r="P27" s="3">
        <f t="shared" si="4"/>
        <v>6.7234331283588418</v>
      </c>
      <c r="Q27" s="3">
        <f t="shared" si="4"/>
        <v>7.6349823533005576</v>
      </c>
      <c r="R27" s="3">
        <f t="shared" si="4"/>
        <v>8.5346388584575514</v>
      </c>
      <c r="S27" s="3">
        <f t="shared" si="4"/>
        <v>9.4225151967440812</v>
      </c>
      <c r="T27" s="3">
        <f t="shared" si="4"/>
        <v>10.298726764187993</v>
      </c>
      <c r="U27" s="3">
        <f t="shared" si="4"/>
        <v>11.163391497623603</v>
      </c>
      <c r="V27" s="3">
        <f t="shared" si="4"/>
        <v>12.016629589492297</v>
      </c>
      <c r="W27" s="3">
        <f t="shared" si="4"/>
        <v>12.858563219018997</v>
      </c>
      <c r="X27" s="3">
        <f t="shared" si="4"/>
        <v>13.689316299050333</v>
      </c>
      <c r="Y27" s="3">
        <f t="shared" si="4"/>
        <v>14.50901423785697</v>
      </c>
      <c r="Z27" s="3">
        <f t="shared" si="4"/>
        <v>15.31778371522406</v>
      </c>
      <c r="AA27" s="3">
        <f t="shared" si="4"/>
        <v>16.115752472170826</v>
      </c>
      <c r="AB27" s="3">
        <f t="shared" si="4"/>
        <v>16.903049113663943</v>
      </c>
      <c r="AC27" s="110">
        <f t="shared" si="4"/>
        <v>17.679802923705573</v>
      </c>
    </row>
    <row r="28" spans="1:30" ht="17" thickBot="1" x14ac:dyDescent="0.25">
      <c r="A28" s="49" t="s">
        <v>68</v>
      </c>
      <c r="B28" s="75">
        <f>B26/B10</f>
        <v>1.201199400599251</v>
      </c>
      <c r="C28" s="75">
        <f>C26/C10</f>
        <v>0.34653564443909324</v>
      </c>
      <c r="D28" s="50"/>
      <c r="H28" s="49" t="s">
        <v>111</v>
      </c>
      <c r="I28" s="111">
        <f>SQRT(I26*I26+I27*I27)</f>
        <v>0.75472777498489763</v>
      </c>
      <c r="J28" s="111">
        <f t="shared" ref="J28:AC28" si="5">SQRT(J26*J26+J27*J27)</f>
        <v>1.2457203728055108</v>
      </c>
      <c r="K28" s="111">
        <f t="shared" si="5"/>
        <v>2.1118820056121415</v>
      </c>
      <c r="L28" s="111">
        <f t="shared" si="5"/>
        <v>3.0368096568923386</v>
      </c>
      <c r="M28" s="111">
        <f t="shared" si="5"/>
        <v>3.9709370864250175</v>
      </c>
      <c r="N28" s="111">
        <f t="shared" si="5"/>
        <v>4.9020926570283523</v>
      </c>
      <c r="O28" s="111">
        <f t="shared" si="5"/>
        <v>5.8260474220132989</v>
      </c>
      <c r="P28" s="111">
        <f t="shared" si="5"/>
        <v>6.7410215976430798</v>
      </c>
      <c r="Q28" s="111">
        <f t="shared" si="5"/>
        <v>7.6461862338323536</v>
      </c>
      <c r="R28" s="111">
        <f t="shared" si="5"/>
        <v>8.5411428111509302</v>
      </c>
      <c r="S28" s="111">
        <f t="shared" si="5"/>
        <v>9.4257101722272836</v>
      </c>
      <c r="T28" s="111">
        <f t="shared" si="5"/>
        <v>10.299826221843732</v>
      </c>
      <c r="U28" s="111">
        <f t="shared" si="5"/>
        <v>11.163498261596985</v>
      </c>
      <c r="V28" s="111">
        <f t="shared" si="5"/>
        <v>12.016776031902497</v>
      </c>
      <c r="W28" s="111">
        <f t="shared" si="5"/>
        <v>12.85973620318979</v>
      </c>
      <c r="X28" s="111">
        <f t="shared" si="5"/>
        <v>13.692473012727424</v>
      </c>
      <c r="Y28" s="111">
        <f t="shared" si="5"/>
        <v>14.51509237651999</v>
      </c>
      <c r="Z28" s="111">
        <f t="shared" si="5"/>
        <v>15.327708054709618</v>
      </c>
      <c r="AA28" s="111">
        <f t="shared" si="5"/>
        <v>16.130439077262295</v>
      </c>
      <c r="AB28" s="111">
        <f t="shared" si="5"/>
        <v>16.923407969046306</v>
      </c>
      <c r="AC28" s="112">
        <f t="shared" si="5"/>
        <v>17.706739496902518</v>
      </c>
    </row>
    <row r="29" spans="1:30" x14ac:dyDescent="0.2">
      <c r="B29" s="84"/>
      <c r="C29" s="84"/>
      <c r="H29" s="45" t="s">
        <v>112</v>
      </c>
      <c r="I29" s="108">
        <f>$C$2/(SQRT(3)*IMABS(I51))*1</f>
        <v>0.1038447954264019</v>
      </c>
      <c r="J29" s="108">
        <f>$C$2/(SQRT(3)*IMABS(J51))</f>
        <v>0.10775452887669566</v>
      </c>
      <c r="K29" s="108">
        <f t="shared" ref="K29:AC29" si="6">$C$2/(SQRT(3)*IMABS(K51))</f>
        <v>0.11875015892861376</v>
      </c>
      <c r="L29" s="108">
        <f t="shared" si="6"/>
        <v>0.1351000732379431</v>
      </c>
      <c r="M29" s="108">
        <f t="shared" si="6"/>
        <v>0.15510936861845245</v>
      </c>
      <c r="N29" s="108">
        <f t="shared" si="6"/>
        <v>0.1775354469646992</v>
      </c>
      <c r="O29" s="108">
        <f t="shared" si="6"/>
        <v>0.20156474789339227</v>
      </c>
      <c r="P29" s="108">
        <f t="shared" si="6"/>
        <v>0.22668039711542798</v>
      </c>
      <c r="Q29" s="108">
        <f t="shared" si="6"/>
        <v>0.2525516467719065</v>
      </c>
      <c r="R29" s="108">
        <f t="shared" si="6"/>
        <v>0.27896212058203484</v>
      </c>
      <c r="S29" s="108">
        <f t="shared" si="6"/>
        <v>0.30576641767605839</v>
      </c>
      <c r="T29" s="108">
        <f t="shared" si="6"/>
        <v>0.33286414962438554</v>
      </c>
      <c r="U29" s="108">
        <f t="shared" si="6"/>
        <v>0.36018421267982287</v>
      </c>
      <c r="V29" s="108">
        <f t="shared" si="6"/>
        <v>0.38767505319088003</v>
      </c>
      <c r="W29" s="108">
        <f t="shared" si="6"/>
        <v>0.41529849349546172</v>
      </c>
      <c r="X29" s="108">
        <f t="shared" si="6"/>
        <v>0.44302571849553268</v>
      </c>
      <c r="Y29" s="108">
        <f t="shared" si="6"/>
        <v>0.47083460453075199</v>
      </c>
      <c r="Z29" s="108">
        <f t="shared" si="6"/>
        <v>0.49870790196838788</v>
      </c>
      <c r="AA29" s="108">
        <f t="shared" si="6"/>
        <v>0.52663197317565102</v>
      </c>
      <c r="AB29" s="108">
        <f t="shared" si="6"/>
        <v>0.55459589956644917</v>
      </c>
      <c r="AC29" s="109">
        <f t="shared" si="6"/>
        <v>0.5825908388253731</v>
      </c>
    </row>
    <row r="30" spans="1:30" x14ac:dyDescent="0.2">
      <c r="B30" s="84"/>
      <c r="C30" s="84"/>
      <c r="H30" s="47" t="s">
        <v>113</v>
      </c>
      <c r="I30" s="3">
        <f>I29*I29*IMAGINARY(I51)*3</f>
        <v>-19.785089887250418</v>
      </c>
      <c r="J30" s="3">
        <f t="shared" ref="J30:AC30" si="7">J29*J29*IMAGINARY(J51)*3</f>
        <v>-19.772756899884236</v>
      </c>
      <c r="K30" s="3">
        <f t="shared" si="7"/>
        <v>-19.749144569866143</v>
      </c>
      <c r="L30" s="3">
        <f t="shared" si="7"/>
        <v>-19.714275980626919</v>
      </c>
      <c r="M30" s="114">
        <f t="shared" si="7"/>
        <v>-19.668174309619097</v>
      </c>
      <c r="N30" s="114">
        <f t="shared" si="7"/>
        <v>-19.610862827475639</v>
      </c>
      <c r="O30" s="114">
        <f t="shared" si="7"/>
        <v>-19.542364897153348</v>
      </c>
      <c r="P30" s="114">
        <f t="shared" si="7"/>
        <v>-19.462703973077407</v>
      </c>
      <c r="Q30" s="114">
        <f t="shared" si="7"/>
        <v>-19.371903600286217</v>
      </c>
      <c r="R30" s="114">
        <f t="shared" si="7"/>
        <v>-19.26998741357562</v>
      </c>
      <c r="S30" s="114">
        <f t="shared" si="7"/>
        <v>-19.156979136644935</v>
      </c>
      <c r="T30" s="114">
        <f t="shared" si="7"/>
        <v>-19.032902581242723</v>
      </c>
      <c r="U30" s="114">
        <f t="shared" si="7"/>
        <v>-18.897781646312662</v>
      </c>
      <c r="V30" s="114">
        <f t="shared" si="7"/>
        <v>-18.751640317140208</v>
      </c>
      <c r="W30" s="114">
        <f t="shared" si="7"/>
        <v>-18.594502664501647</v>
      </c>
      <c r="X30" s="114">
        <f t="shared" si="7"/>
        <v>-18.426392843809957</v>
      </c>
      <c r="Y30" s="114">
        <f t="shared" si="7"/>
        <v>-18.247335094264415</v>
      </c>
      <c r="Z30" s="114">
        <f t="shared" si="7"/>
        <v>-18.057353738000351</v>
      </c>
      <c r="AA30" s="114">
        <f t="shared" si="7"/>
        <v>-17.856473179238364</v>
      </c>
      <c r="AB30" s="114">
        <f t="shared" si="7"/>
        <v>-17.644717903436334</v>
      </c>
      <c r="AC30" s="110">
        <f t="shared" si="7"/>
        <v>-17.422112476439853</v>
      </c>
    </row>
    <row r="31" spans="1:30" x14ac:dyDescent="0.2">
      <c r="H31" s="47" t="s">
        <v>114</v>
      </c>
      <c r="I31" s="3">
        <f>I$29*I$29*IMREAL(I$51)*3</f>
        <v>5.9959996708887648E-3</v>
      </c>
      <c r="J31" s="3">
        <f t="shared" ref="J31:AC31" si="8">J$29*J$29*IMREAL(J$51)*3</f>
        <v>5.5243806793072245</v>
      </c>
      <c r="K31" s="3">
        <f t="shared" si="8"/>
        <v>11.0389935081399</v>
      </c>
      <c r="L31" s="3">
        <f t="shared" si="8"/>
        <v>16.549803741937822</v>
      </c>
      <c r="M31" s="3">
        <f t="shared" si="8"/>
        <v>22.056780784877539</v>
      </c>
      <c r="N31" s="3">
        <f t="shared" si="8"/>
        <v>27.559894177645525</v>
      </c>
      <c r="O31" s="3">
        <f t="shared" si="8"/>
        <v>33.059113597679392</v>
      </c>
      <c r="P31" s="3">
        <f t="shared" si="8"/>
        <v>38.554408859402479</v>
      </c>
      <c r="Q31" s="3">
        <f t="shared" si="8"/>
        <v>44.045749914454213</v>
      </c>
      <c r="R31" s="3">
        <f t="shared" si="8"/>
        <v>49.533106851913224</v>
      </c>
      <c r="S31" s="3">
        <f t="shared" si="8"/>
        <v>55.01644989851561</v>
      </c>
      <c r="T31" s="3">
        <f t="shared" si="8"/>
        <v>60.495749418867646</v>
      </c>
      <c r="U31" s="3">
        <f t="shared" si="8"/>
        <v>65.970975915652801</v>
      </c>
      <c r="V31" s="3">
        <f t="shared" si="8"/>
        <v>71.442100029831323</v>
      </c>
      <c r="W31" s="3">
        <f t="shared" si="8"/>
        <v>76.909092540838913</v>
      </c>
      <c r="X31" s="3">
        <f t="shared" si="8"/>
        <v>82.371924366773911</v>
      </c>
      <c r="Y31" s="3">
        <f t="shared" si="8"/>
        <v>87.830566564581517</v>
      </c>
      <c r="Z31" s="3">
        <f t="shared" si="8"/>
        <v>93.284990330235019</v>
      </c>
      <c r="AA31" s="3">
        <f t="shared" si="8"/>
        <v>98.73516699890709</v>
      </c>
      <c r="AB31" s="3">
        <f t="shared" si="8"/>
        <v>104.18106804513965</v>
      </c>
      <c r="AC31" s="3">
        <f t="shared" si="8"/>
        <v>109.62266508300333</v>
      </c>
    </row>
    <row r="32" spans="1:30" ht="17" thickBot="1" x14ac:dyDescent="0.25">
      <c r="H32" s="49" t="s">
        <v>115</v>
      </c>
      <c r="I32" s="111">
        <f>SQRT(I30*I30+I31*I31)</f>
        <v>19.785090795813673</v>
      </c>
      <c r="J32" s="111">
        <f t="shared" ref="J32:AC32" si="9">SQRT(J30*J30+J31*J31)</f>
        <v>20.529995063609309</v>
      </c>
      <c r="K32" s="111">
        <f t="shared" si="9"/>
        <v>22.624943953836176</v>
      </c>
      <c r="L32" s="111">
        <f t="shared" si="9"/>
        <v>25.740021004983319</v>
      </c>
      <c r="M32" s="111">
        <f t="shared" si="9"/>
        <v>29.552303789479826</v>
      </c>
      <c r="N32" s="111">
        <f t="shared" si="9"/>
        <v>33.825045571603972</v>
      </c>
      <c r="O32" s="111">
        <f t="shared" si="9"/>
        <v>38.403242280278391</v>
      </c>
      <c r="P32" s="111">
        <f t="shared" si="9"/>
        <v>43.188416137219193</v>
      </c>
      <c r="Q32" s="111">
        <f t="shared" si="9"/>
        <v>48.117551211854341</v>
      </c>
      <c r="R32" s="111">
        <f t="shared" si="9"/>
        <v>53.149422285876405</v>
      </c>
      <c r="S32" s="111">
        <f t="shared" si="9"/>
        <v>58.256326772958559</v>
      </c>
      <c r="T32" s="111">
        <f t="shared" si="9"/>
        <v>63.419138108440897</v>
      </c>
      <c r="U32" s="111">
        <f t="shared" si="9"/>
        <v>68.624309209021206</v>
      </c>
      <c r="V32" s="111">
        <f t="shared" si="9"/>
        <v>73.862017784892814</v>
      </c>
      <c r="W32" s="111">
        <f t="shared" si="9"/>
        <v>79.124990014504789</v>
      </c>
      <c r="X32" s="111">
        <f t="shared" si="9"/>
        <v>84.407735884336645</v>
      </c>
      <c r="Y32" s="111">
        <f t="shared" si="9"/>
        <v>89.706040270974839</v>
      </c>
      <c r="Z32" s="111">
        <f t="shared" si="9"/>
        <v>95.016616677985951</v>
      </c>
      <c r="AA32" s="111">
        <f t="shared" si="9"/>
        <v>100.33686678735255</v>
      </c>
      <c r="AB32" s="111">
        <f t="shared" si="9"/>
        <v>105.66471032903021</v>
      </c>
      <c r="AC32" s="112">
        <f t="shared" si="9"/>
        <v>110.99846261566886</v>
      </c>
    </row>
    <row r="34" spans="1:31" x14ac:dyDescent="0.2">
      <c r="A34" s="54" t="s">
        <v>116</v>
      </c>
      <c r="B34" s="55"/>
      <c r="E34" s="53" t="s">
        <v>80</v>
      </c>
      <c r="F34" s="53" t="s">
        <v>81</v>
      </c>
      <c r="G34" s="53" t="s">
        <v>82</v>
      </c>
    </row>
    <row r="35" spans="1:31" x14ac:dyDescent="0.2">
      <c r="A35" t="s">
        <v>73</v>
      </c>
      <c r="B35" s="52" t="str">
        <f>COMPLEX((1/B23),($B$20*0.000000001*2*PI()*50/2))</f>
        <v>0,036+0,000942477796076938i</v>
      </c>
      <c r="E35" s="53">
        <f>IMABS(B35)</f>
        <v>3.6012334892312911E-2</v>
      </c>
      <c r="F35" s="53">
        <f>IMARGUMENT(B35)</f>
        <v>2.617396008930941E-2</v>
      </c>
      <c r="G35">
        <f>COS(F35)</f>
        <v>0.99965748146156597</v>
      </c>
      <c r="H35" s="82" t="s">
        <v>73</v>
      </c>
      <c r="I35" s="91" t="str">
        <f>COMPLEX((1/I23),($B$20*0.000000001*2*PI()*50/2))</f>
        <v>0,000000000001+0,000942477796076938i</v>
      </c>
      <c r="J35" s="91" t="str">
        <f t="shared" ref="J35:AC35" si="10">COMPLEX((1/J23),($B$20*0.000000001*2*PI()*50/2))</f>
        <v>0,0025+0,000942477796076938i</v>
      </c>
      <c r="K35" s="91" t="str">
        <f>COMPLEX((1/K23),($B$20*0.000000001*2*PI()*50/2))</f>
        <v>0,005+0,000942477796076938i</v>
      </c>
      <c r="L35" s="91" t="str">
        <f t="shared" si="10"/>
        <v>0,0075+0,000942477796076938i</v>
      </c>
      <c r="M35" s="91" t="str">
        <f t="shared" si="10"/>
        <v>0,01+0,000942477796076938i</v>
      </c>
      <c r="N35" s="91" t="str">
        <f t="shared" si="10"/>
        <v>0,0125+0,000942477796076938i</v>
      </c>
      <c r="O35" s="91" t="str">
        <f t="shared" si="10"/>
        <v>0,015+0,000942477796076938i</v>
      </c>
      <c r="P35" s="91" t="str">
        <f t="shared" si="10"/>
        <v>0,0175+0,000942477796076938i</v>
      </c>
      <c r="Q35" s="91" t="str">
        <f t="shared" si="10"/>
        <v>0,02+0,000942477796076938i</v>
      </c>
      <c r="R35" s="91" t="str">
        <f t="shared" si="10"/>
        <v>0,0225+0,000942477796076938i</v>
      </c>
      <c r="S35" s="91" t="str">
        <f t="shared" si="10"/>
        <v>0,025+0,000942477796076938i</v>
      </c>
      <c r="T35" s="91" t="str">
        <f t="shared" si="10"/>
        <v>0,0275+0,000942477796076938i</v>
      </c>
      <c r="U35" s="91" t="str">
        <f t="shared" si="10"/>
        <v>0,03+0,000942477796076938i</v>
      </c>
      <c r="V35" s="91" t="str">
        <f t="shared" si="10"/>
        <v>0,0325+0,000942477796076938i</v>
      </c>
      <c r="W35" s="91" t="str">
        <f t="shared" si="10"/>
        <v>0,035+0,000942477796076938i</v>
      </c>
      <c r="X35" s="91" t="str">
        <f t="shared" si="10"/>
        <v>0,0375+0,000942477796076938i</v>
      </c>
      <c r="Y35" s="91" t="str">
        <f t="shared" si="10"/>
        <v>0,04+0,000942477796076938i</v>
      </c>
      <c r="Z35" s="91" t="str">
        <f t="shared" si="10"/>
        <v>0,0425+0,000942477796076938i</v>
      </c>
      <c r="AA35" s="91" t="str">
        <f t="shared" si="10"/>
        <v>0,045+0,000942477796076938i</v>
      </c>
      <c r="AB35" s="91" t="str">
        <f t="shared" si="10"/>
        <v>0,0475+0,000942477796076938i</v>
      </c>
      <c r="AC35" s="91" t="str">
        <f t="shared" si="10"/>
        <v>0,05+0,000942477796076938i</v>
      </c>
    </row>
    <row r="36" spans="1:31" x14ac:dyDescent="0.2">
      <c r="A36" t="s">
        <v>75</v>
      </c>
      <c r="B36" s="52" t="str">
        <f>IMDIV(1,B35)</f>
        <v>27,7587522289467-0,726722433960652i</v>
      </c>
      <c r="E36" s="53">
        <f t="shared" ref="E36:E40" si="11">IMABS(B36)</f>
        <v>27.768263373932392</v>
      </c>
      <c r="F36" s="53">
        <f t="shared" ref="F36:F40" si="12">IMARGUMENT(B36)</f>
        <v>-2.61739600893094E-2</v>
      </c>
      <c r="G36">
        <f t="shared" ref="G36:G40" si="13">COS(F36)</f>
        <v>0.99965748146156597</v>
      </c>
      <c r="H36" s="82" t="s">
        <v>75</v>
      </c>
      <c r="I36" s="91" t="str">
        <f>IMDIV(1,I35)</f>
        <v>1,12579092935931E-06-1061,03295394597i</v>
      </c>
      <c r="J36" s="91" t="str">
        <f t="shared" ref="J36:AC36" si="14">IMDIV(1,J35)</f>
        <v>350,22518938449-132,031785848689i</v>
      </c>
      <c r="K36" s="91" t="str">
        <f t="shared" si="14"/>
        <v>193,137706085604-36,4055999141832i</v>
      </c>
      <c r="L36" s="91" t="str">
        <f t="shared" si="14"/>
        <v>131,260549813133-16,4946871599638i</v>
      </c>
      <c r="M36" s="91" t="str">
        <f t="shared" si="14"/>
        <v>99,1195562720649-9,34179809434197i</v>
      </c>
      <c r="N36" s="91" t="str">
        <f t="shared" si="14"/>
        <v>79,5477794542218-5,99776126902634i</v>
      </c>
      <c r="O36" s="91" t="str">
        <f t="shared" si="14"/>
        <v>66,4045121604782-4,17231855137145i</v>
      </c>
      <c r="P36" s="91" t="str">
        <f t="shared" si="14"/>
        <v>56,9775961793913-3,06857824416654i</v>
      </c>
      <c r="Q36" s="91" t="str">
        <f t="shared" si="14"/>
        <v>49,8892129709214-2,35097377444235i</v>
      </c>
      <c r="R36" s="91" t="str">
        <f t="shared" si="14"/>
        <v>44,3665989723593-1,85842375195105i</v>
      </c>
      <c r="S36" s="91" t="str">
        <f t="shared" si="14"/>
        <v>39,9432317589814-1,50582436145581i</v>
      </c>
      <c r="T36" s="91" t="str">
        <f t="shared" si="14"/>
        <v>36,3209750360911-1,24478954557748i</v>
      </c>
      <c r="U36" s="91" t="str">
        <f t="shared" si="14"/>
        <v>33,3004670896787-1,04616502770043i</v>
      </c>
      <c r="V36" s="91" t="str">
        <f t="shared" si="14"/>
        <v>30,7433768075418-0,891536923616457i</v>
      </c>
      <c r="W36" s="91" t="str">
        <f t="shared" si="14"/>
        <v>28,5507260461799-0,768812153154289i</v>
      </c>
      <c r="X36" s="91" t="str">
        <f t="shared" si="14"/>
        <v>26,6498331747761-0,669783360970161i</v>
      </c>
      <c r="Y36" s="91" t="str">
        <f t="shared" si="14"/>
        <v>24,986128569747-0,588721784672754i</v>
      </c>
      <c r="Z36" s="91" t="str">
        <f t="shared" si="14"/>
        <v>23,5178463304812-0,521530540659484i</v>
      </c>
      <c r="AA36" s="91" t="str">
        <f t="shared" si="14"/>
        <v>22,2124787387591-0,465217066824701i</v>
      </c>
      <c r="AB36" s="91" t="str">
        <f t="shared" si="14"/>
        <v>21,0443466176888-0,417554303581442i</v>
      </c>
      <c r="AC36" s="91" t="str">
        <f t="shared" si="14"/>
        <v>19,9928964087781-0,376857218890794i</v>
      </c>
    </row>
    <row r="37" spans="1:31" x14ac:dyDescent="0.2">
      <c r="A37" t="s">
        <v>74</v>
      </c>
      <c r="B37" s="52" t="str">
        <f>IMSUM(COMPLEX($B$18*0.001,$B$19*2*PI()*50*0.001),B36)</f>
        <v>30,2587522289467+1,37186145863733i</v>
      </c>
      <c r="E37" s="53">
        <f t="shared" si="11"/>
        <v>30.289834768689012</v>
      </c>
      <c r="F37" s="53">
        <f t="shared" si="12"/>
        <v>4.5306648797384524E-2</v>
      </c>
      <c r="G37">
        <f t="shared" si="13"/>
        <v>0.99897382933978773</v>
      </c>
      <c r="H37" s="82" t="s">
        <v>74</v>
      </c>
      <c r="I37" s="91" t="str">
        <f>IMSUM(COMPLEX($B$18*0.001,$B$19*2*PI()*50*0.001),I36)</f>
        <v>2,50000112579093-1058,93437005337i</v>
      </c>
      <c r="J37" s="91" t="str">
        <f t="shared" ref="J37:AC37" si="15">IMSUM(COMPLEX($B$18*0.001,$B$19*2*PI()*50*0.001),J36)</f>
        <v>352,72518938449-129,933201956091i</v>
      </c>
      <c r="K37" s="91" t="str">
        <f t="shared" si="15"/>
        <v>195,637706085604-34,3070160215852i</v>
      </c>
      <c r="L37" s="91" t="str">
        <f t="shared" si="15"/>
        <v>133,760549813133-14,3961032673658i</v>
      </c>
      <c r="M37" s="91" t="str">
        <f t="shared" si="15"/>
        <v>101,619556272065-7,24321420174399i</v>
      </c>
      <c r="N37" s="91" t="str">
        <f t="shared" si="15"/>
        <v>82,0477794542218-3,89917737642836i</v>
      </c>
      <c r="O37" s="91" t="str">
        <f t="shared" si="15"/>
        <v>68,9045121604782-2,07373465877347i</v>
      </c>
      <c r="P37" s="91" t="str">
        <f t="shared" si="15"/>
        <v>59,4775961793913-0,96999435156856i</v>
      </c>
      <c r="Q37" s="91" t="str">
        <f t="shared" si="15"/>
        <v>52,3892129709214-0,25238988184437i</v>
      </c>
      <c r="R37" s="91" t="str">
        <f t="shared" si="15"/>
        <v>46,8665989723593+0,24016014064693i</v>
      </c>
      <c r="S37" s="91" t="str">
        <f t="shared" si="15"/>
        <v>42,4432317589814+0,59275953114217i</v>
      </c>
      <c r="T37" s="91" t="str">
        <f t="shared" si="15"/>
        <v>38,8209750360911+0,8537943470205i</v>
      </c>
      <c r="U37" s="91" t="str">
        <f t="shared" si="15"/>
        <v>35,8004670896787+1,05241886489755i</v>
      </c>
      <c r="V37" s="91" t="str">
        <f t="shared" si="15"/>
        <v>33,2433768075418+1,20704696898152i</v>
      </c>
      <c r="W37" s="91" t="str">
        <f t="shared" si="15"/>
        <v>31,0507260461799+1,32977173944369i</v>
      </c>
      <c r="X37" s="91" t="str">
        <f t="shared" si="15"/>
        <v>29,1498331747761+1,42880053162782i</v>
      </c>
      <c r="Y37" s="91" t="str">
        <f t="shared" si="15"/>
        <v>27,486128569747+1,50986210792523i</v>
      </c>
      <c r="Z37" s="91" t="str">
        <f t="shared" si="15"/>
        <v>26,0178463304812+1,5770533519385i</v>
      </c>
      <c r="AA37" s="91" t="str">
        <f t="shared" si="15"/>
        <v>24,7124787387591+1,63336682577328i</v>
      </c>
      <c r="AB37" s="91" t="str">
        <f t="shared" si="15"/>
        <v>23,5443466176888+1,68102958901654i</v>
      </c>
      <c r="AC37" s="91" t="str">
        <f t="shared" si="15"/>
        <v>22,4928964087781+1,72172667370719i</v>
      </c>
    </row>
    <row r="38" spans="1:31" x14ac:dyDescent="0.2">
      <c r="A38" t="s">
        <v>76</v>
      </c>
      <c r="B38" s="52" t="str">
        <f>IMDIV(1,B37)</f>
        <v>0,0329804978128319-0,00149525907392883i</v>
      </c>
      <c r="E38" s="53">
        <f t="shared" si="11"/>
        <v>3.3014376197050534E-2</v>
      </c>
      <c r="F38" s="53">
        <f t="shared" si="12"/>
        <v>-4.5306648797384448E-2</v>
      </c>
      <c r="G38">
        <f t="shared" si="13"/>
        <v>0.99897382933978773</v>
      </c>
      <c r="H38" s="82" t="s">
        <v>76</v>
      </c>
      <c r="I38" s="91" t="str">
        <f>IMDIV(1,I37)</f>
        <v>2,22946005007748E-06+0,000944340324223271i</v>
      </c>
      <c r="J38" s="91" t="str">
        <f t="shared" ref="J38:AC38" si="16">IMDIV(1,J37)</f>
        <v>0,0024963265423167+0,000919570562389353i</v>
      </c>
      <c r="K38" s="91" t="str">
        <f t="shared" si="16"/>
        <v>0,00495899451348178+0,000869608970729448i</v>
      </c>
      <c r="L38" s="91" t="str">
        <f t="shared" si="16"/>
        <v>0,00739043984530679+0,000795402944686801i</v>
      </c>
      <c r="M38" s="91" t="str">
        <f t="shared" si="16"/>
        <v>0,00979088276731259+0,00069787217844115i</v>
      </c>
      <c r="N38" s="91" t="str">
        <f t="shared" si="16"/>
        <v>0,0121605561565793+0,000577909186158735i</v>
      </c>
      <c r="O38" s="91" t="str">
        <f t="shared" si="16"/>
        <v>0,0144997044849882+0,000436379836235741i</v>
      </c>
      <c r="P38" s="91" t="str">
        <f t="shared" si="16"/>
        <v>0,0168085828208971+0,000274123896079578i</v>
      </c>
      <c r="Q38" s="91" t="str">
        <f t="shared" si="16"/>
        <v>0,0190874558832514+0,0000919555851651635i</v>
      </c>
      <c r="R38" s="91" t="str">
        <f t="shared" si="16"/>
        <v>0,0213365971461439-0,000109335865710395i</v>
      </c>
      <c r="S38" s="91" t="str">
        <f t="shared" si="16"/>
        <v>0,0235562879918602-0,000328985650875896i</v>
      </c>
      <c r="T38" s="91" t="str">
        <f t="shared" si="16"/>
        <v>0,02574681691047-0,000566252823673141i</v>
      </c>
      <c r="U38" s="91" t="str">
        <f t="shared" si="16"/>
        <v>0,027908478744059-0,000820419729364587i</v>
      </c>
      <c r="V38" s="91" t="str">
        <f t="shared" si="16"/>
        <v>0,0300415739737307-0,00109079143849788i</v>
      </c>
      <c r="W38" s="91" t="str">
        <f t="shared" si="16"/>
        <v>0,0321464080475475-0,00137669518202822i</v>
      </c>
      <c r="X38" s="91" t="str">
        <f t="shared" si="16"/>
        <v>0,0342232907476258-0,0016774797893723i</v>
      </c>
      <c r="Y38" s="91" t="str">
        <f t="shared" si="16"/>
        <v>0,0362725355946424-0,00199251513045017i</v>
      </c>
      <c r="Z38" s="91" t="str">
        <f t="shared" si="16"/>
        <v>0,0382944592880601-0,00232119156266039i</v>
      </c>
      <c r="AA38" s="91" t="str">
        <f t="shared" si="16"/>
        <v>0,0402893811804271-0,00266291938363235i</v>
      </c>
      <c r="AB38" s="91" t="str">
        <f t="shared" si="16"/>
        <v>0,0422576227841598-0,00301712829050447i</v>
      </c>
      <c r="AC38" s="91" t="str">
        <f t="shared" si="16"/>
        <v>0,0441995073092639-0,00338326684638875i</v>
      </c>
    </row>
    <row r="39" spans="1:31" x14ac:dyDescent="0.2">
      <c r="A39" t="s">
        <v>77</v>
      </c>
      <c r="B39" s="52" t="str">
        <f>IMSUM(COMPLEX(0,($B$20*0.000000001*2*PI()*50/2)),B38)</f>
        <v>0,0329804978128319-0,000552781277851892i</v>
      </c>
      <c r="E39" s="53">
        <f t="shared" si="11"/>
        <v>3.2985130030414513E-2</v>
      </c>
      <c r="F39" s="53">
        <f t="shared" si="12"/>
        <v>-1.6759283808617895E-2</v>
      </c>
      <c r="G39">
        <f t="shared" si="13"/>
        <v>0.99985956649016261</v>
      </c>
      <c r="H39" s="82" t="s">
        <v>77</v>
      </c>
      <c r="I39" s="91" t="str">
        <f>IMSUM(COMPLEX(0,($B$20*0.000000001*2*PI()*50/2)),I38)</f>
        <v>2,22946005007748E-06+0,00188681812030021i</v>
      </c>
      <c r="J39" s="91" t="str">
        <f t="shared" ref="J39:AC39" si="17">IMSUM(COMPLEX(0,($B$20*0.000000001*2*PI()*50/2)),J38)</f>
        <v>0,0024963265423167+0,00186204835846629i</v>
      </c>
      <c r="K39" s="91" t="str">
        <f t="shared" si="17"/>
        <v>0,00495899451348178+0,00181208676680639i</v>
      </c>
      <c r="L39" s="91" t="str">
        <f t="shared" si="17"/>
        <v>0,00739043984530679+0,00173788074076374i</v>
      </c>
      <c r="M39" s="91" t="str">
        <f t="shared" si="17"/>
        <v>0,00979088276731259+0,00164034997451809i</v>
      </c>
      <c r="N39" s="91" t="str">
        <f t="shared" si="17"/>
        <v>0,0121605561565793+0,00152038698223567i</v>
      </c>
      <c r="O39" s="91" t="str">
        <f t="shared" si="17"/>
        <v>0,0144997044849882+0,00137885763231268i</v>
      </c>
      <c r="P39" s="91" t="str">
        <f t="shared" si="17"/>
        <v>0,0168085828208971+0,00121660169215652i</v>
      </c>
      <c r="Q39" s="91" t="str">
        <f t="shared" si="17"/>
        <v>0,0190874558832514+0,0010344333812421i</v>
      </c>
      <c r="R39" s="91" t="str">
        <f t="shared" si="17"/>
        <v>0,0213365971461439+0,000833141930366543i</v>
      </c>
      <c r="S39" s="91" t="str">
        <f t="shared" si="17"/>
        <v>0,0235562879918602+0,000613492145201042i</v>
      </c>
      <c r="T39" s="91" t="str">
        <f t="shared" si="17"/>
        <v>0,02574681691047+0,000376224972403797i</v>
      </c>
      <c r="U39" s="91" t="str">
        <f t="shared" si="17"/>
        <v>0,027908478744059+0,000122058066712351i</v>
      </c>
      <c r="V39" s="91" t="str">
        <f t="shared" si="17"/>
        <v>0,0300415739737307-0,000148313642420942i</v>
      </c>
      <c r="W39" s="91" t="str">
        <f t="shared" si="17"/>
        <v>0,0321464080475475-0,000434217385951282i</v>
      </c>
      <c r="X39" s="91" t="str">
        <f t="shared" si="17"/>
        <v>0,0342232907476258-0,000735001993295362i</v>
      </c>
      <c r="Y39" s="91" t="str">
        <f t="shared" si="17"/>
        <v>0,0362725355946424-0,00105003733437323i</v>
      </c>
      <c r="Z39" s="91" t="str">
        <f t="shared" si="17"/>
        <v>0,0382944592880601-0,00137871376658345i</v>
      </c>
      <c r="AA39" s="91" t="str">
        <f t="shared" si="17"/>
        <v>0,0402893811804271-0,00172044158755541i</v>
      </c>
      <c r="AB39" s="91" t="str">
        <f t="shared" si="17"/>
        <v>0,0422576227841598-0,00207465049442753i</v>
      </c>
      <c r="AC39" s="91" t="str">
        <f t="shared" si="17"/>
        <v>0,0441995073092639-0,00244078905031181i</v>
      </c>
    </row>
    <row r="40" spans="1:31" x14ac:dyDescent="0.2">
      <c r="A40" t="s">
        <v>78</v>
      </c>
      <c r="B40" s="52" t="str">
        <f>IMDIV(1,B39)</f>
        <v>30,3124336805168+0,508062246962124i</v>
      </c>
      <c r="E40" s="53">
        <f t="shared" si="11"/>
        <v>30.316691159863034</v>
      </c>
      <c r="F40" s="53">
        <f t="shared" si="12"/>
        <v>1.6759283808617877E-2</v>
      </c>
      <c r="G40">
        <f t="shared" si="13"/>
        <v>0.99985956649016261</v>
      </c>
      <c r="H40" s="82" t="s">
        <v>78</v>
      </c>
      <c r="I40" s="91" t="str">
        <f>IMDIV(1,I39)</f>
        <v>0,62623741522527-529,99205014503i</v>
      </c>
      <c r="J40" s="91" t="str">
        <f t="shared" ref="J40:AC40" si="18">IMDIV(1,J39)</f>
        <v>257,383227773146-191,986107845878i</v>
      </c>
      <c r="K40" s="91" t="str">
        <f t="shared" si="18"/>
        <v>177,899329360176-65,0069322885712i</v>
      </c>
      <c r="L40" s="91" t="str">
        <f t="shared" si="18"/>
        <v>128,219808962543-30,1512144398166i</v>
      </c>
      <c r="M40" s="91" t="str">
        <f t="shared" si="18"/>
        <v>99,3472432236357-16,644489752691i</v>
      </c>
      <c r="N40" s="91" t="str">
        <f t="shared" si="18"/>
        <v>80,967436365938-10,1230432762045i</v>
      </c>
      <c r="O40" s="91" t="str">
        <f t="shared" si="18"/>
        <v>68,3488328986694-6,49967107947379i</v>
      </c>
      <c r="P40" s="91" t="str">
        <f t="shared" si="18"/>
        <v>59,1833635810339-4,28367941827219i</v>
      </c>
      <c r="Q40" s="91" t="str">
        <f t="shared" si="18"/>
        <v>52,2370070214523-2,83095369700803i</v>
      </c>
      <c r="R40" s="91" t="str">
        <f t="shared" si="18"/>
        <v>46,7964785054241-1,82728802392052i</v>
      </c>
      <c r="S40" s="91" t="str">
        <f t="shared" si="18"/>
        <v>42,4227360202597-1,10484365513615i</v>
      </c>
      <c r="T40" s="91" t="str">
        <f t="shared" si="18"/>
        <v>38,8314611606455-0,567424138462026i</v>
      </c>
      <c r="U40" s="91" t="str">
        <f t="shared" si="18"/>
        <v>35,8307194716411-0,156706081607981i</v>
      </c>
      <c r="V40" s="91" t="str">
        <f t="shared" si="18"/>
        <v>33,2863926513326+0,164333138519631i</v>
      </c>
      <c r="W40" s="91" t="str">
        <f t="shared" si="18"/>
        <v>31,1019999320993+0,420110050503867i</v>
      </c>
      <c r="X40" s="91" t="str">
        <f t="shared" si="18"/>
        <v>29,2063955240157+0,627255838295256i</v>
      </c>
      <c r="Y40" s="91" t="str">
        <f t="shared" si="18"/>
        <v>27,5459839440934+0,797416311795305i</v>
      </c>
      <c r="Z40" s="91" t="str">
        <f t="shared" si="18"/>
        <v>26,0796335463592+0,938943922078773i</v>
      </c>
      <c r="AA40" s="91" t="str">
        <f t="shared" si="18"/>
        <v>24,7752588783066+1,05795583024237i</v>
      </c>
      <c r="AB40" s="91" t="str">
        <f t="shared" si="18"/>
        <v>23,607467292335+1,15901559205985i</v>
      </c>
      <c r="AC40" s="91" t="str">
        <f t="shared" si="18"/>
        <v>22,555902832823+1,24558403488612i</v>
      </c>
    </row>
    <row r="41" spans="1:31" x14ac:dyDescent="0.2">
      <c r="H41" s="82" t="s">
        <v>91</v>
      </c>
      <c r="I41" s="92">
        <f>IMREAL(I40)</f>
        <v>0.62623741522526999</v>
      </c>
      <c r="J41" s="92">
        <f t="shared" ref="J41:AE41" si="19">IMREAL(J40)</f>
        <v>257.38322777314602</v>
      </c>
      <c r="K41" s="92">
        <f t="shared" si="19"/>
        <v>177.89932936017601</v>
      </c>
      <c r="L41" s="92">
        <f t="shared" si="19"/>
        <v>128.219808962543</v>
      </c>
      <c r="M41" s="92">
        <f t="shared" si="19"/>
        <v>99.347243223635701</v>
      </c>
      <c r="N41" s="92">
        <f t="shared" si="19"/>
        <v>80.967436365937999</v>
      </c>
      <c r="O41" s="92">
        <f t="shared" si="19"/>
        <v>68.3488328986694</v>
      </c>
      <c r="P41" s="92">
        <f t="shared" si="19"/>
        <v>59.183363581033902</v>
      </c>
      <c r="Q41" s="92">
        <f t="shared" si="19"/>
        <v>52.2370070214523</v>
      </c>
      <c r="R41" s="92">
        <f t="shared" si="19"/>
        <v>46.796478505424098</v>
      </c>
      <c r="S41" s="92">
        <f t="shared" si="19"/>
        <v>42.422736020259698</v>
      </c>
      <c r="T41" s="92">
        <f t="shared" si="19"/>
        <v>38.831461160645503</v>
      </c>
      <c r="U41" s="92">
        <f t="shared" si="19"/>
        <v>35.830719471641103</v>
      </c>
      <c r="V41" s="92">
        <f t="shared" si="19"/>
        <v>33.286392651332598</v>
      </c>
      <c r="W41" s="92">
        <f t="shared" si="19"/>
        <v>31.1019999320993</v>
      </c>
      <c r="X41" s="92">
        <f t="shared" si="19"/>
        <v>29.206395524015701</v>
      </c>
      <c r="Y41" s="92">
        <f t="shared" si="19"/>
        <v>27.5459839440934</v>
      </c>
      <c r="Z41" s="92">
        <f t="shared" si="19"/>
        <v>26.079633546359201</v>
      </c>
      <c r="AA41" s="92">
        <f t="shared" si="19"/>
        <v>24.775258878306602</v>
      </c>
      <c r="AB41" s="92">
        <f t="shared" si="19"/>
        <v>23.607467292334999</v>
      </c>
      <c r="AC41" s="92">
        <f t="shared" si="19"/>
        <v>22.555902832823001</v>
      </c>
      <c r="AD41">
        <f t="shared" si="19"/>
        <v>0</v>
      </c>
      <c r="AE41">
        <f t="shared" si="19"/>
        <v>0</v>
      </c>
    </row>
    <row r="42" spans="1:31" x14ac:dyDescent="0.2">
      <c r="A42" t="s">
        <v>102</v>
      </c>
      <c r="B42" s="93">
        <f>$B$2/(SQRT(3)*E40)</f>
        <v>0.38087947404629241</v>
      </c>
      <c r="C42" s="1" t="s">
        <v>37</v>
      </c>
      <c r="H42" s="82" t="s">
        <v>92</v>
      </c>
      <c r="I42" s="92">
        <f>IMAGINARY(I40)</f>
        <v>-529.99205014503002</v>
      </c>
      <c r="J42" s="92">
        <f t="shared" ref="J42:AE42" si="20">IMAGINARY(J40)</f>
        <v>-191.986107845878</v>
      </c>
      <c r="K42" s="92">
        <f t="shared" si="20"/>
        <v>-65.006932288571207</v>
      </c>
      <c r="L42" s="92">
        <f t="shared" si="20"/>
        <v>-30.151214439816599</v>
      </c>
      <c r="M42" s="92">
        <f t="shared" si="20"/>
        <v>-16.644489752691001</v>
      </c>
      <c r="N42" s="92">
        <f t="shared" si="20"/>
        <v>-10.1230432762045</v>
      </c>
      <c r="O42" s="92">
        <f t="shared" si="20"/>
        <v>-6.4996710794737904</v>
      </c>
      <c r="P42" s="92">
        <f t="shared" si="20"/>
        <v>-4.2836794182721896</v>
      </c>
      <c r="Q42" s="92">
        <f t="shared" si="20"/>
        <v>-2.83095369700803</v>
      </c>
      <c r="R42" s="92">
        <f t="shared" si="20"/>
        <v>-1.82728802392052</v>
      </c>
      <c r="S42" s="92">
        <f t="shared" si="20"/>
        <v>-1.10484365513615</v>
      </c>
      <c r="T42" s="92">
        <f t="shared" si="20"/>
        <v>-0.567424138462026</v>
      </c>
      <c r="U42" s="92">
        <f t="shared" si="20"/>
        <v>-0.156706081607981</v>
      </c>
      <c r="V42" s="92">
        <f t="shared" si="20"/>
        <v>0.16433313851963099</v>
      </c>
      <c r="W42" s="92">
        <f t="shared" si="20"/>
        <v>0.42011005050386702</v>
      </c>
      <c r="X42" s="92">
        <f t="shared" si="20"/>
        <v>0.627255838295256</v>
      </c>
      <c r="Y42" s="92">
        <f t="shared" si="20"/>
        <v>0.79741631179530503</v>
      </c>
      <c r="Z42" s="92">
        <f t="shared" si="20"/>
        <v>0.93894392207877297</v>
      </c>
      <c r="AA42" s="92">
        <f t="shared" si="20"/>
        <v>1.0579558302423699</v>
      </c>
      <c r="AB42" s="92">
        <f t="shared" si="20"/>
        <v>1.1590155920598499</v>
      </c>
      <c r="AC42" s="92">
        <f t="shared" si="20"/>
        <v>1.24558403488612</v>
      </c>
      <c r="AD42">
        <f t="shared" si="20"/>
        <v>0</v>
      </c>
      <c r="AE42">
        <f t="shared" si="20"/>
        <v>0</v>
      </c>
    </row>
    <row r="43" spans="1:31" x14ac:dyDescent="0.2">
      <c r="A43" t="s">
        <v>83</v>
      </c>
      <c r="B43" s="2">
        <f>SQRT(3)*$B$2*$B$42*SIN($F$40)</f>
        <v>0.22111251114075645</v>
      </c>
      <c r="C43" s="1" t="s">
        <v>84</v>
      </c>
      <c r="D43" t="s">
        <v>103</v>
      </c>
      <c r="E43" s="2">
        <f>SQRT(3)*$B$2*$B$42*COS($F$40)</f>
        <v>13.192199125132753</v>
      </c>
      <c r="F43" t="s">
        <v>26</v>
      </c>
      <c r="G43" s="94">
        <f>SQRT(B43*B43+E43*E43)</f>
        <v>13.194052012165798</v>
      </c>
      <c r="H43" s="82" t="s">
        <v>79</v>
      </c>
      <c r="I43" s="92">
        <f>IMABS(I40)</f>
        <v>529.99242012526202</v>
      </c>
      <c r="J43" s="92">
        <f t="shared" ref="J43:AC43" si="21">IMABS(J40)</f>
        <v>321.09934840284598</v>
      </c>
      <c r="K43" s="92">
        <f t="shared" si="21"/>
        <v>189.40452115081956</v>
      </c>
      <c r="L43" s="92">
        <f t="shared" si="21"/>
        <v>131.71717861610472</v>
      </c>
      <c r="M43" s="92">
        <f t="shared" si="21"/>
        <v>100.73189055737843</v>
      </c>
      <c r="N43" s="92">
        <f t="shared" si="21"/>
        <v>81.597804853097173</v>
      </c>
      <c r="O43" s="92">
        <f t="shared" si="21"/>
        <v>68.657182310021881</v>
      </c>
      <c r="P43" s="92">
        <f t="shared" si="21"/>
        <v>59.338186980420794</v>
      </c>
      <c r="Q43" s="92">
        <f t="shared" si="21"/>
        <v>52.313661708906025</v>
      </c>
      <c r="R43" s="92">
        <f t="shared" si="21"/>
        <v>46.832140480987874</v>
      </c>
      <c r="S43" s="92">
        <f t="shared" si="21"/>
        <v>42.43712067220082</v>
      </c>
      <c r="T43" s="92">
        <f t="shared" si="21"/>
        <v>38.835606677682144</v>
      </c>
      <c r="U43" s="92">
        <f t="shared" si="21"/>
        <v>35.831062147966726</v>
      </c>
      <c r="V43" s="92">
        <f t="shared" si="21"/>
        <v>33.286798300814461</v>
      </c>
      <c r="W43" s="92">
        <f t="shared" si="21"/>
        <v>31.10483711950344</v>
      </c>
      <c r="X43" s="92">
        <f t="shared" si="21"/>
        <v>29.213130427804547</v>
      </c>
      <c r="Y43" s="92">
        <f t="shared" si="21"/>
        <v>27.557523550249734</v>
      </c>
      <c r="Z43" s="92">
        <f t="shared" si="21"/>
        <v>26.096530451406618</v>
      </c>
      <c r="AA43" s="92">
        <f t="shared" si="21"/>
        <v>24.797837063458857</v>
      </c>
      <c r="AB43" s="92">
        <f t="shared" si="21"/>
        <v>23.635901275417964</v>
      </c>
      <c r="AC43" s="92">
        <f t="shared" si="21"/>
        <v>22.590268528543785</v>
      </c>
    </row>
    <row r="44" spans="1:31" x14ac:dyDescent="0.2">
      <c r="H44" s="8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</row>
    <row r="45" spans="1:31" x14ac:dyDescent="0.2">
      <c r="A45" s="54" t="s">
        <v>117</v>
      </c>
      <c r="B45" s="55"/>
      <c r="E45" s="53" t="s">
        <v>80</v>
      </c>
      <c r="F45" s="53" t="s">
        <v>81</v>
      </c>
      <c r="G45" s="53" t="s">
        <v>82</v>
      </c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</row>
    <row r="46" spans="1:31" x14ac:dyDescent="0.2">
      <c r="A46" t="s">
        <v>73</v>
      </c>
      <c r="B46" s="52" t="str">
        <f>COMPLEX((1/$C$23),($C$20*0.000000001*2*PI()*50/2))</f>
        <v>0,00933884297520661+0,000816814089933346i</v>
      </c>
      <c r="E46" s="53">
        <f>IMABS(B46)</f>
        <v>9.3744958996779919E-3</v>
      </c>
      <c r="F46" s="53">
        <f>IMARGUMENT(B46)</f>
        <v>8.7242148738778239E-2</v>
      </c>
      <c r="G46">
        <f>COS(F46)</f>
        <v>0.99619681688989736</v>
      </c>
      <c r="H46" s="82" t="s">
        <v>73</v>
      </c>
      <c r="I46" s="91" t="str">
        <f>COMPLEX((1/I24),($C$20*0.000000001*2*PI()*50/2))</f>
        <v>9,99999999999E-13+0,000816814089933346i</v>
      </c>
      <c r="J46" s="91" t="str">
        <f t="shared" ref="J46:AE46" si="22">COMPLEX((1/J24),($C$20*0.000000001*2*PI()*50/2))</f>
        <v>0,000454545454545455+0,000816814089933346i</v>
      </c>
      <c r="K46" s="91" t="str">
        <f t="shared" si="22"/>
        <v>0,000909090909090909+0,000816814089933346i</v>
      </c>
      <c r="L46" s="91" t="str">
        <f t="shared" si="22"/>
        <v>0,00136363636363636+0,000816814089933346i</v>
      </c>
      <c r="M46" s="91" t="str">
        <f t="shared" si="22"/>
        <v>0,00181818181818182+0,000816814089933346i</v>
      </c>
      <c r="N46" s="91" t="str">
        <f t="shared" si="22"/>
        <v>0,00227272727272727+0,000816814089933346i</v>
      </c>
      <c r="O46" s="91" t="str">
        <f t="shared" si="22"/>
        <v>0,00272727272727273+0,000816814089933346i</v>
      </c>
      <c r="P46" s="91" t="str">
        <f t="shared" si="22"/>
        <v>0,00318181818181818+0,000816814089933346i</v>
      </c>
      <c r="Q46" s="91" t="str">
        <f t="shared" si="22"/>
        <v>0,00363636363636364+0,000816814089933346i</v>
      </c>
      <c r="R46" s="91" t="str">
        <f t="shared" si="22"/>
        <v>0,00409090909090909+0,000816814089933346i</v>
      </c>
      <c r="S46" s="91" t="str">
        <f t="shared" si="22"/>
        <v>0,00454545454545455+0,000816814089933346i</v>
      </c>
      <c r="T46" s="91" t="str">
        <f t="shared" si="22"/>
        <v>0,005+0,000816814089933346i</v>
      </c>
      <c r="U46" s="91" t="str">
        <f t="shared" si="22"/>
        <v>0,00545454545454545+0,000816814089933346i</v>
      </c>
      <c r="V46" s="91" t="str">
        <f t="shared" si="22"/>
        <v>0,00590909090909091+0,000816814089933346i</v>
      </c>
      <c r="W46" s="91" t="str">
        <f t="shared" si="22"/>
        <v>0,00636363636363636+0,000816814089933346i</v>
      </c>
      <c r="X46" s="91" t="str">
        <f t="shared" si="22"/>
        <v>0,00681818181818182+0,000816814089933346i</v>
      </c>
      <c r="Y46" s="91" t="str">
        <f t="shared" si="22"/>
        <v>0,00727272727272727+0,000816814089933346i</v>
      </c>
      <c r="Z46" s="91" t="str">
        <f t="shared" si="22"/>
        <v>0,00772727272727273+0,000816814089933346i</v>
      </c>
      <c r="AA46" s="91" t="str">
        <f t="shared" si="22"/>
        <v>0,00818181818181818+0,000816814089933346i</v>
      </c>
      <c r="AB46" s="91" t="str">
        <f t="shared" si="22"/>
        <v>0,00863636363636364+0,000816814089933346i</v>
      </c>
      <c r="AC46" s="91" t="str">
        <f t="shared" si="22"/>
        <v>0,00909090909090909+0,000816814089933346i</v>
      </c>
      <c r="AD46" s="91" t="e">
        <f t="shared" si="22"/>
        <v>#DIV/0!</v>
      </c>
      <c r="AE46" s="91" t="e">
        <f t="shared" si="22"/>
        <v>#DIV/0!</v>
      </c>
    </row>
    <row r="47" spans="1:31" x14ac:dyDescent="0.2">
      <c r="A47" t="s">
        <v>75</v>
      </c>
      <c r="B47" s="52" t="str">
        <f>IMDIV(1,B46)</f>
        <v>106,266707836964-9,29452872079607i</v>
      </c>
      <c r="E47" s="53">
        <f t="shared" ref="E47:E51" si="23">IMABS(B47)</f>
        <v>106.67240251652893</v>
      </c>
      <c r="F47" s="53">
        <f t="shared" ref="F47:F51" si="24">IMARGUMENT(B47)</f>
        <v>-8.7242148738778155E-2</v>
      </c>
      <c r="G47">
        <f t="shared" ref="G47:G51" si="25">COS(F47)</f>
        <v>0.99619681688989736</v>
      </c>
      <c r="H47" s="82" t="s">
        <v>75</v>
      </c>
      <c r="I47" s="91" t="str">
        <f>IMDIV(1,I46)</f>
        <v>1,49883407754788E-06-1224,26879301458i</v>
      </c>
      <c r="J47" s="91" t="str">
        <f t="shared" ref="J47:AC47" si="26">IMDIV(1,J46)</f>
        <v>520,19581681233-934,787199932732i</v>
      </c>
      <c r="K47" s="91" t="str">
        <f t="shared" si="26"/>
        <v>608,644692921123-546,864517035241i</v>
      </c>
      <c r="L47" s="91" t="str">
        <f t="shared" si="26"/>
        <v>539,692915627418-323,274436995902i</v>
      </c>
      <c r="M47" s="91" t="str">
        <f t="shared" si="26"/>
        <v>457,637899002974-205,592796196217i</v>
      </c>
      <c r="N47" s="91" t="str">
        <f t="shared" si="26"/>
        <v>389,667758921904-140,045890987271i</v>
      </c>
      <c r="O47" s="91" t="str">
        <f t="shared" si="26"/>
        <v>336,484247910484-100,776527402433i</v>
      </c>
      <c r="P47" s="91" t="str">
        <f t="shared" si="26"/>
        <v>294,854351319197-75,6929449997842i</v>
      </c>
      <c r="Q47" s="91" t="str">
        <f t="shared" si="26"/>
        <v>261,79109841815-58,8045308969448i</v>
      </c>
      <c r="R47" s="91" t="str">
        <f t="shared" si="26"/>
        <v>235,072937767512-46,9359947785737i</v>
      </c>
      <c r="S47" s="91" t="str">
        <f t="shared" si="26"/>
        <v>213,11804195984-38,2971202881967i</v>
      </c>
      <c r="T47" s="91" t="str">
        <f t="shared" si="26"/>
        <v>194,801258877279-31,823282597543i</v>
      </c>
      <c r="U47" s="91" t="str">
        <f t="shared" si="26"/>
        <v>179,31228443538-26,8518800779083i</v>
      </c>
      <c r="V47" s="91" t="str">
        <f t="shared" si="26"/>
        <v>166,057810627079-22,9541839092384i</v>
      </c>
      <c r="W47" s="91" t="str">
        <f t="shared" si="26"/>
        <v>154,595830382165-19,843379678744i</v>
      </c>
      <c r="X47" s="91" t="str">
        <f t="shared" si="26"/>
        <v>144,591504403192-17,3219754519074i</v>
      </c>
      <c r="Y47" s="91" t="str">
        <f t="shared" si="26"/>
        <v>135,787184357025-15,2505217445893i</v>
      </c>
      <c r="Z47" s="91" t="str">
        <f t="shared" si="26"/>
        <v>127,981745112531-13,5283555209871i</v>
      </c>
      <c r="AA47" s="91" t="str">
        <f t="shared" si="26"/>
        <v>121,016103777309-12,0813805046174i</v>
      </c>
      <c r="AB47" s="91" t="str">
        <f t="shared" si="26"/>
        <v>114,762909399167-10,8541007935665i</v>
      </c>
      <c r="AC47" s="91" t="str">
        <f t="shared" si="26"/>
        <v>109,119087973607-9,80430093912705i</v>
      </c>
    </row>
    <row r="48" spans="1:31" x14ac:dyDescent="0.2">
      <c r="A48" t="s">
        <v>74</v>
      </c>
      <c r="B48" s="52" t="str">
        <f>IMSUM(COMPLEX($C$18*0.001,$C$19*2*PI()*50*0.001),B47)</f>
        <v>107,006707836964-7,04514838082578i</v>
      </c>
      <c r="E48" s="53">
        <f t="shared" si="23"/>
        <v>107.23837763512289</v>
      </c>
      <c r="F48" s="53">
        <f t="shared" si="24"/>
        <v>-6.574349776156678E-2</v>
      </c>
      <c r="G48">
        <f t="shared" si="25"/>
        <v>0.99783967453380229</v>
      </c>
      <c r="H48" s="82" t="s">
        <v>74</v>
      </c>
      <c r="I48" s="91" t="str">
        <f>IMSUM(COMPLEX($C$18*0.001,$C$19*2*PI()*50*0.001),I47)</f>
        <v>0,740001498834078-1222,01941267461i</v>
      </c>
      <c r="J48" s="91" t="str">
        <f t="shared" ref="J48:AC48" si="27">IMSUM(COMPLEX($C$18*0.001,$C$19*2*PI()*50*0.001),J47)</f>
        <v>520,93581681233-932,537819592762i</v>
      </c>
      <c r="K48" s="91" t="str">
        <f t="shared" si="27"/>
        <v>609,384692921123-544,615136695271i</v>
      </c>
      <c r="L48" s="91" t="str">
        <f t="shared" si="27"/>
        <v>540,432915627418-321,025056655932i</v>
      </c>
      <c r="M48" s="91" t="str">
        <f t="shared" si="27"/>
        <v>458,377899002974-203,343415856247i</v>
      </c>
      <c r="N48" s="91" t="str">
        <f t="shared" si="27"/>
        <v>390,407758921904-137,796510647301i</v>
      </c>
      <c r="O48" s="91" t="str">
        <f t="shared" si="27"/>
        <v>337,224247910484-98,5271470624627i</v>
      </c>
      <c r="P48" s="91" t="str">
        <f t="shared" si="27"/>
        <v>295,594351319197-73,4435646598139i</v>
      </c>
      <c r="Q48" s="91" t="str">
        <f t="shared" si="27"/>
        <v>262,53109841815-56,5551505569745i</v>
      </c>
      <c r="R48" s="91" t="str">
        <f t="shared" si="27"/>
        <v>235,812937767512-44,6866144386034i</v>
      </c>
      <c r="S48" s="91" t="str">
        <f t="shared" si="27"/>
        <v>213,85804195984-36,0477399482264i</v>
      </c>
      <c r="T48" s="91" t="str">
        <f t="shared" si="27"/>
        <v>195,541258877279-29,5739022575727i</v>
      </c>
      <c r="U48" s="91" t="str">
        <f t="shared" si="27"/>
        <v>180,05228443538-24,602499737938i</v>
      </c>
      <c r="V48" s="91" t="str">
        <f t="shared" si="27"/>
        <v>166,797810627079-20,7048035692681i</v>
      </c>
      <c r="W48" s="91" t="str">
        <f t="shared" si="27"/>
        <v>155,335830382165-17,5939993387737i</v>
      </c>
      <c r="X48" s="91" t="str">
        <f t="shared" si="27"/>
        <v>145,331504403192-15,0725951119371i</v>
      </c>
      <c r="Y48" s="91" t="str">
        <f t="shared" si="27"/>
        <v>136,527184357025-13,001141404619i</v>
      </c>
      <c r="Z48" s="91" t="str">
        <f t="shared" si="27"/>
        <v>128,721745112531-11,2789751810168i</v>
      </c>
      <c r="AA48" s="91" t="str">
        <f t="shared" si="27"/>
        <v>121,756103777309-9,83200016464711i</v>
      </c>
      <c r="AB48" s="91" t="str">
        <f t="shared" si="27"/>
        <v>115,502909399167-8,60472045359621i</v>
      </c>
      <c r="AC48" s="91" t="str">
        <f t="shared" si="27"/>
        <v>109,859087973607-7,55492059915676i</v>
      </c>
    </row>
    <row r="49" spans="1:31" x14ac:dyDescent="0.2">
      <c r="A49" t="s">
        <v>76</v>
      </c>
      <c r="B49" s="52" t="str">
        <f>IMDIV(1,B48)</f>
        <v>0,00930487477094197+0,000612617888648319i</v>
      </c>
      <c r="E49" s="53">
        <f t="shared" si="23"/>
        <v>9.3250198487941187E-3</v>
      </c>
      <c r="F49" s="53">
        <f t="shared" si="24"/>
        <v>6.5743497761566724E-2</v>
      </c>
      <c r="G49">
        <f t="shared" si="25"/>
        <v>0.99783967453380229</v>
      </c>
      <c r="H49" s="82" t="s">
        <v>76</v>
      </c>
      <c r="I49" s="91" t="str">
        <f>IMDIV(1,I48)</f>
        <v>4,95537162883369E-07+0,000818317305707179i</v>
      </c>
      <c r="J49" s="91" t="str">
        <f t="shared" ref="J49:AC49" si="28">IMDIV(1,J48)</f>
        <v>0,000456560386719606+0,000817298050552956i</v>
      </c>
      <c r="K49" s="91" t="str">
        <f t="shared" si="28"/>
        <v>0,000912313513069415+0,000815346618320055i</v>
      </c>
      <c r="L49" s="91" t="str">
        <f t="shared" si="28"/>
        <v>0,00136775237536676+0,000812464916730033i</v>
      </c>
      <c r="M49" s="91" t="str">
        <f t="shared" si="28"/>
        <v>0,0018228744450312+0,000808654861274845i</v>
      </c>
      <c r="N49" s="91" t="str">
        <f t="shared" si="28"/>
        <v>0,00227767720476409+0,000803918375147285i</v>
      </c>
      <c r="O49" s="91" t="str">
        <f t="shared" si="28"/>
        <v>0,00273215814856854+0,000798257389170233i</v>
      </c>
      <c r="P49" s="91" t="str">
        <f t="shared" si="28"/>
        <v>0,0031863147817688+0,000791673841725946i</v>
      </c>
      <c r="Q49" s="91" t="str">
        <f t="shared" si="28"/>
        <v>0,00364014462102928+0,000784169678685346i</v>
      </c>
      <c r="R49" s="91" t="str">
        <f t="shared" si="28"/>
        <v>0,00409364519437299+0,000775746853337366i</v>
      </c>
      <c r="S49" s="91" t="str">
        <f t="shared" si="28"/>
        <v>0,00454681404119964+0,000766407326318305i</v>
      </c>
      <c r="T49" s="91" t="str">
        <f t="shared" si="28"/>
        <v>0,00499964871230312+0,00075615306554126i</v>
      </c>
      <c r="U49" s="91" t="str">
        <f t="shared" si="28"/>
        <v>0,00545214676988865+0,000744986046125541i</v>
      </c>
      <c r="V49" s="91" t="str">
        <f t="shared" si="28"/>
        <v>0,00590430578758938+0,000732908250326186i</v>
      </c>
      <c r="W49" s="91" t="str">
        <f t="shared" si="28"/>
        <v>0,00635612335048257+0,000719921667463492i</v>
      </c>
      <c r="X49" s="91" t="str">
        <f t="shared" si="28"/>
        <v>0,00680759705510527+0,000706028293852598i</v>
      </c>
      <c r="Y49" s="91" t="str">
        <f t="shared" si="28"/>
        <v>0,00725872450946954+0,000691230132733132i</v>
      </c>
      <c r="Z49" s="91" t="str">
        <f t="shared" si="28"/>
        <v>0,00770950333307725+0,000675529194198903i</v>
      </c>
      <c r="AA49" s="91" t="str">
        <f t="shared" si="28"/>
        <v>0,0081599311569345+0,000658927495127688i</v>
      </c>
      <c r="AB49" s="91" t="str">
        <f t="shared" si="28"/>
        <v>0,00861000562356527+0,000641427059110987i</v>
      </c>
      <c r="AC49" s="91" t="str">
        <f t="shared" si="28"/>
        <v>0,00905972438702507+0,000623029916383997i</v>
      </c>
    </row>
    <row r="50" spans="1:31" x14ac:dyDescent="0.2">
      <c r="A50" t="s">
        <v>77</v>
      </c>
      <c r="B50" s="52" t="str">
        <f>IMSUM(COMPLEX(0,($C$20*0.000000001*2*PI()*50/2)),B49)</f>
        <v>0,00930487477094197+0,00142943197858167i</v>
      </c>
      <c r="E50" s="53">
        <f t="shared" si="23"/>
        <v>9.4140305015601201E-3</v>
      </c>
      <c r="F50" s="53">
        <f t="shared" si="24"/>
        <v>0.15243019311900979</v>
      </c>
      <c r="G50">
        <f t="shared" si="25"/>
        <v>0.98840499501249113</v>
      </c>
      <c r="H50" s="82" t="s">
        <v>77</v>
      </c>
      <c r="I50" s="91" t="str">
        <f>IMSUM(COMPLEX(0,($C$20*0.000000001*2*PI()*50/2)),I49)</f>
        <v>4,95537162883369E-07+0,00163513139564053i</v>
      </c>
      <c r="J50" s="91" t="str">
        <f t="shared" ref="J50:AC50" si="29">IMSUM(COMPLEX(0,($C$20*0.000000001*2*PI()*50/2)),J49)</f>
        <v>0,000456560386719606+0,0016341121404863i</v>
      </c>
      <c r="K50" s="91" t="str">
        <f t="shared" si="29"/>
        <v>0,000912313513069415+0,0016321607082534i</v>
      </c>
      <c r="L50" s="91" t="str">
        <f t="shared" si="29"/>
        <v>0,00136775237536676+0,00162927900666338i</v>
      </c>
      <c r="M50" s="91" t="str">
        <f t="shared" si="29"/>
        <v>0,0018228744450312+0,00162546895120819i</v>
      </c>
      <c r="N50" s="91" t="str">
        <f t="shared" si="29"/>
        <v>0,00227767720476409+0,00162073246508063i</v>
      </c>
      <c r="O50" s="91" t="str">
        <f t="shared" si="29"/>
        <v>0,00273215814856854+0,00161507147910358i</v>
      </c>
      <c r="P50" s="91" t="str">
        <f t="shared" si="29"/>
        <v>0,0031863147817688+0,00160848793165929i</v>
      </c>
      <c r="Q50" s="91" t="str">
        <f t="shared" si="29"/>
        <v>0,00364014462102928+0,00160098376861869i</v>
      </c>
      <c r="R50" s="91" t="str">
        <f t="shared" si="29"/>
        <v>0,00409364519437299+0,00159256094327071i</v>
      </c>
      <c r="S50" s="91" t="str">
        <f t="shared" si="29"/>
        <v>0,00454681404119964+0,00158322141625165i</v>
      </c>
      <c r="T50" s="91" t="str">
        <f t="shared" si="29"/>
        <v>0,00499964871230312+0,00157296715547461i</v>
      </c>
      <c r="U50" s="91" t="str">
        <f t="shared" si="29"/>
        <v>0,00545214676988865+0,00156180013605889i</v>
      </c>
      <c r="V50" s="91" t="str">
        <f t="shared" si="29"/>
        <v>0,00590430578758938+0,00154972234025953i</v>
      </c>
      <c r="W50" s="91" t="str">
        <f t="shared" si="29"/>
        <v>0,00635612335048257+0,00153673575739684i</v>
      </c>
      <c r="X50" s="91" t="str">
        <f t="shared" si="29"/>
        <v>0,00680759705510527+0,00152284238378594i</v>
      </c>
      <c r="Y50" s="91" t="str">
        <f t="shared" si="29"/>
        <v>0,00725872450946954+0,00150804422266648i</v>
      </c>
      <c r="Z50" s="91" t="str">
        <f t="shared" si="29"/>
        <v>0,00770950333307725+0,00149234328413225i</v>
      </c>
      <c r="AA50" s="91" t="str">
        <f t="shared" si="29"/>
        <v>0,0081599311569345+0,00147574158506103i</v>
      </c>
      <c r="AB50" s="91" t="str">
        <f t="shared" si="29"/>
        <v>0,00861000562356527+0,00145824114904433i</v>
      </c>
      <c r="AC50" s="91" t="str">
        <f t="shared" si="29"/>
        <v>0,00905972438702507+0,00143984400631734i</v>
      </c>
    </row>
    <row r="51" spans="1:31" x14ac:dyDescent="0.2">
      <c r="A51" t="s">
        <v>78</v>
      </c>
      <c r="B51" s="52" t="str">
        <f>IMDIV(1,B50)</f>
        <v>104,992754681291-16,1291801077753i</v>
      </c>
      <c r="E51" s="53">
        <f t="shared" si="23"/>
        <v>106.22442744733814</v>
      </c>
      <c r="F51" s="53">
        <f t="shared" si="24"/>
        <v>-0.15243019311900957</v>
      </c>
      <c r="G51">
        <f t="shared" si="25"/>
        <v>0.98840499501249113</v>
      </c>
      <c r="H51" s="82" t="s">
        <v>78</v>
      </c>
      <c r="I51" s="91" t="str">
        <f>IMDIV(1,I50)</f>
        <v>0,185340732627658-611,571590407295i</v>
      </c>
      <c r="J51" s="91" t="str">
        <f t="shared" ref="J51:AC51" si="30">IMDIV(1,J50)</f>
        <v>158,595652531541-567,642504187079i</v>
      </c>
      <c r="K51" s="91" t="str">
        <f t="shared" si="30"/>
        <v>260,939498967076-466,829868618844i</v>
      </c>
      <c r="L51" s="91" t="str">
        <f t="shared" si="30"/>
        <v>302,245904215446-360,03805619871i</v>
      </c>
      <c r="M51" s="91" t="str">
        <f t="shared" si="30"/>
        <v>305,593992279484-272,50014255236i</v>
      </c>
      <c r="N51" s="91" t="str">
        <f t="shared" si="30"/>
        <v>291,464815030615-207,398347386879i</v>
      </c>
      <c r="O51" s="91" t="str">
        <f t="shared" si="30"/>
        <v>271,231915283943-160,334397489855i</v>
      </c>
      <c r="P51" s="91" t="str">
        <f t="shared" si="30"/>
        <v>250,106434112554-126,256571761896i</v>
      </c>
      <c r="Q51" s="91" t="str">
        <f t="shared" si="30"/>
        <v>230,187822415546-101,2396500106i</v>
      </c>
      <c r="R51" s="91" t="str">
        <f t="shared" si="30"/>
        <v>212,169934717715-82,5409959398016i</v>
      </c>
      <c r="S51" s="91" t="str">
        <f t="shared" si="30"/>
        <v>196,151547071733-68,3008645924135i</v>
      </c>
      <c r="T51" s="91" t="str">
        <f t="shared" si="30"/>
        <v>181,999234133868-57,259786454523i</v>
      </c>
      <c r="U51" s="91" t="str">
        <f t="shared" si="30"/>
        <v>169,504919639137-48,5557006676955i</v>
      </c>
      <c r="V51" s="91" t="str">
        <f t="shared" si="30"/>
        <v>158,451825528764-41,5893659154612i</v>
      </c>
      <c r="W51" s="91" t="str">
        <f t="shared" si="30"/>
        <v>148,640008325781-35,9370646506803i</v>
      </c>
      <c r="X51" s="91" t="str">
        <f t="shared" si="30"/>
        <v>139,894319541181-31,2940083444628i</v>
      </c>
      <c r="Y51" s="91" t="str">
        <f t="shared" si="30"/>
        <v>132,0649833331-27,4373045666918i</v>
      </c>
      <c r="Z51" s="91" t="str">
        <f t="shared" si="30"/>
        <v>125,025332121291-24,2013923175956i</v>
      </c>
      <c r="AA51" s="91" t="str">
        <f t="shared" si="30"/>
        <v>118,668694587341-21,461495701299i</v>
      </c>
      <c r="AB51" s="91" t="str">
        <f t="shared" si="30"/>
        <v>112,905277409379-19,1223012691187i</v>
      </c>
      <c r="AC51" s="91" t="str">
        <f t="shared" si="30"/>
        <v>107,659361360025-17,110088514413i</v>
      </c>
    </row>
    <row r="52" spans="1:31" x14ac:dyDescent="0.2">
      <c r="H52" s="82" t="s">
        <v>91</v>
      </c>
      <c r="I52" s="92">
        <f>IMREAL(I51)</f>
        <v>0.18534073262765799</v>
      </c>
      <c r="J52" s="92">
        <f t="shared" ref="J52:AE52" si="31">IMREAL(J51)</f>
        <v>158.59565253154099</v>
      </c>
      <c r="K52" s="92">
        <f t="shared" si="31"/>
        <v>260.93949896707602</v>
      </c>
      <c r="L52" s="92">
        <f t="shared" si="31"/>
        <v>302.24590421544599</v>
      </c>
      <c r="M52" s="92">
        <f t="shared" si="31"/>
        <v>305.59399227948398</v>
      </c>
      <c r="N52" s="92">
        <f t="shared" si="31"/>
        <v>291.464815030615</v>
      </c>
      <c r="O52" s="92">
        <f t="shared" si="31"/>
        <v>271.23191528394301</v>
      </c>
      <c r="P52" s="92">
        <f t="shared" si="31"/>
        <v>250.10643411255401</v>
      </c>
      <c r="Q52" s="92">
        <f t="shared" si="31"/>
        <v>230.18782241554601</v>
      </c>
      <c r="R52" s="92">
        <f t="shared" si="31"/>
        <v>212.16993471771499</v>
      </c>
      <c r="S52" s="92">
        <f t="shared" si="31"/>
        <v>196.15154707173301</v>
      </c>
      <c r="T52" s="92">
        <f t="shared" si="31"/>
        <v>181.99923413386799</v>
      </c>
      <c r="U52" s="92">
        <f t="shared" si="31"/>
        <v>169.504919639137</v>
      </c>
      <c r="V52" s="92">
        <f t="shared" si="31"/>
        <v>158.451825528764</v>
      </c>
      <c r="W52" s="92">
        <f t="shared" si="31"/>
        <v>148.640008325781</v>
      </c>
      <c r="X52" s="92">
        <f t="shared" si="31"/>
        <v>139.89431954118101</v>
      </c>
      <c r="Y52" s="92">
        <f t="shared" si="31"/>
        <v>132.0649833331</v>
      </c>
      <c r="Z52" s="92">
        <f t="shared" si="31"/>
        <v>125.025332121291</v>
      </c>
      <c r="AA52" s="92">
        <f t="shared" si="31"/>
        <v>118.66869458734099</v>
      </c>
      <c r="AB52" s="92">
        <f t="shared" si="31"/>
        <v>112.905277409379</v>
      </c>
      <c r="AC52" s="92">
        <f t="shared" si="31"/>
        <v>107.659361360025</v>
      </c>
      <c r="AD52">
        <f t="shared" si="31"/>
        <v>0</v>
      </c>
      <c r="AE52">
        <f t="shared" si="31"/>
        <v>0</v>
      </c>
    </row>
    <row r="53" spans="1:31" x14ac:dyDescent="0.2">
      <c r="A53" t="s">
        <v>102</v>
      </c>
      <c r="B53" s="93">
        <f>$C$2/(SQRT(3)*E51)</f>
        <v>0.59787123486585847</v>
      </c>
      <c r="C53" s="1" t="s">
        <v>37</v>
      </c>
      <c r="H53" s="82" t="s">
        <v>92</v>
      </c>
      <c r="I53" s="92">
        <f>IMAGINARY(I51)</f>
        <v>-611.57159040729505</v>
      </c>
      <c r="J53" s="92">
        <f t="shared" ref="J53:AE53" si="32">IMAGINARY(J51)</f>
        <v>-567.642504187079</v>
      </c>
      <c r="K53" s="92">
        <f t="shared" si="32"/>
        <v>-466.82986861884399</v>
      </c>
      <c r="L53" s="92">
        <f t="shared" si="32"/>
        <v>-360.03805619871002</v>
      </c>
      <c r="M53" s="92">
        <f t="shared" si="32"/>
        <v>-272.50014255235999</v>
      </c>
      <c r="N53" s="92">
        <f t="shared" si="32"/>
        <v>-207.39834738687901</v>
      </c>
      <c r="O53" s="92">
        <f t="shared" si="32"/>
        <v>-160.33439748985501</v>
      </c>
      <c r="P53" s="92">
        <f t="shared" si="32"/>
        <v>-126.256571761896</v>
      </c>
      <c r="Q53" s="92">
        <f t="shared" si="32"/>
        <v>-101.2396500106</v>
      </c>
      <c r="R53" s="92">
        <f t="shared" si="32"/>
        <v>-82.540995939801604</v>
      </c>
      <c r="S53" s="92">
        <f t="shared" si="32"/>
        <v>-68.300864592413504</v>
      </c>
      <c r="T53" s="92">
        <f t="shared" si="32"/>
        <v>-57.259786454523002</v>
      </c>
      <c r="U53" s="92">
        <f t="shared" si="32"/>
        <v>-48.555700667695497</v>
      </c>
      <c r="V53" s="92">
        <f t="shared" si="32"/>
        <v>-41.589365915461201</v>
      </c>
      <c r="W53" s="92">
        <f t="shared" si="32"/>
        <v>-35.937064650680298</v>
      </c>
      <c r="X53" s="92">
        <f t="shared" si="32"/>
        <v>-31.294008344462799</v>
      </c>
      <c r="Y53" s="92">
        <f t="shared" si="32"/>
        <v>-27.4373045666918</v>
      </c>
      <c r="Z53" s="92">
        <f t="shared" si="32"/>
        <v>-24.201392317595602</v>
      </c>
      <c r="AA53" s="92">
        <f t="shared" si="32"/>
        <v>-21.461495701299</v>
      </c>
      <c r="AB53" s="92">
        <f t="shared" si="32"/>
        <v>-19.122301269118701</v>
      </c>
      <c r="AC53" s="92">
        <f t="shared" si="32"/>
        <v>-17.110088514413</v>
      </c>
      <c r="AD53">
        <f t="shared" si="32"/>
        <v>0</v>
      </c>
      <c r="AE53">
        <f t="shared" si="32"/>
        <v>0</v>
      </c>
    </row>
    <row r="54" spans="1:31" x14ac:dyDescent="0.2">
      <c r="A54" t="s">
        <v>83</v>
      </c>
      <c r="B54" s="2">
        <f>SQRT(3)*$B$2*$B$53*SIN($F$51)</f>
        <v>-3.1447503528796656</v>
      </c>
      <c r="C54" s="1" t="s">
        <v>84</v>
      </c>
      <c r="D54" t="s">
        <v>103</v>
      </c>
      <c r="E54" s="2">
        <f>SQRT(3)*$C$2*$B$53*COS($F$51)</f>
        <v>112.5889847283977</v>
      </c>
      <c r="F54" t="s">
        <v>26</v>
      </c>
      <c r="G54" s="94">
        <f>SQRT(B54*B54+E54*E54)</f>
        <v>112.63289455995219</v>
      </c>
      <c r="H54" s="82" t="s">
        <v>79</v>
      </c>
      <c r="I54" s="92">
        <f>IMABS(I51)</f>
        <v>611.57161849164936</v>
      </c>
      <c r="J54" s="92">
        <f t="shared" ref="J54:AC54" si="33">IMABS(J51)</f>
        <v>589.38153479871028</v>
      </c>
      <c r="K54" s="92">
        <f t="shared" si="33"/>
        <v>534.80795464902712</v>
      </c>
      <c r="L54" s="92">
        <f t="shared" si="33"/>
        <v>470.0850864751593</v>
      </c>
      <c r="M54" s="92">
        <f t="shared" si="33"/>
        <v>409.44354410390918</v>
      </c>
      <c r="N54" s="92">
        <f t="shared" si="33"/>
        <v>357.72309528410261</v>
      </c>
      <c r="O54" s="92">
        <f t="shared" si="33"/>
        <v>315.07756328724975</v>
      </c>
      <c r="P54" s="92">
        <f t="shared" si="33"/>
        <v>280.16771815747103</v>
      </c>
      <c r="Q54" s="92">
        <f t="shared" si="33"/>
        <v>251.46749357059997</v>
      </c>
      <c r="R54" s="92">
        <f t="shared" si="33"/>
        <v>227.66004745860391</v>
      </c>
      <c r="S54" s="92">
        <f t="shared" si="33"/>
        <v>207.70276243397797</v>
      </c>
      <c r="T54" s="92">
        <f t="shared" si="33"/>
        <v>190.79414134121643</v>
      </c>
      <c r="U54" s="92">
        <f t="shared" si="33"/>
        <v>176.32235776894868</v>
      </c>
      <c r="V54" s="92">
        <f t="shared" si="33"/>
        <v>163.81897439139337</v>
      </c>
      <c r="W54" s="92">
        <f t="shared" si="33"/>
        <v>152.922610135962</v>
      </c>
      <c r="X54" s="92">
        <f t="shared" si="33"/>
        <v>143.3517896580066</v>
      </c>
      <c r="Y54" s="92">
        <f t="shared" si="33"/>
        <v>134.8850084503737</v>
      </c>
      <c r="Z54" s="92">
        <f t="shared" si="33"/>
        <v>127.34614663251219</v>
      </c>
      <c r="AA54" s="92">
        <f t="shared" si="33"/>
        <v>120.59375967603171</v>
      </c>
      <c r="AB54" s="92">
        <f t="shared" si="33"/>
        <v>114.51316113318924</v>
      </c>
      <c r="AC54" s="92">
        <f t="shared" si="33"/>
        <v>109.0105188384107</v>
      </c>
    </row>
    <row r="55" spans="1:31" x14ac:dyDescent="0.2">
      <c r="B55" s="52"/>
    </row>
    <row r="56" spans="1:31" x14ac:dyDescent="0.2">
      <c r="H56" s="82" t="s">
        <v>95</v>
      </c>
      <c r="I56">
        <f>SQRT(2)/SQRT(B19*B20)</f>
        <v>7.0640073330085389E-3</v>
      </c>
      <c r="J56" t="s">
        <v>96</v>
      </c>
    </row>
    <row r="57" spans="1:31" x14ac:dyDescent="0.2">
      <c r="C57" s="1">
        <f>1000/SQRT(C5*C4)</f>
        <v>103.65059815378028</v>
      </c>
      <c r="D57" t="s">
        <v>118</v>
      </c>
      <c r="E57" t="s">
        <v>119</v>
      </c>
    </row>
  </sheetData>
  <pageMargins left="0.7" right="0.7" top="0.78740157499999996" bottom="0.78740157499999996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Kenngößen_380kV</vt:lpstr>
      <vt:lpstr>Freileitung_380kV</vt:lpstr>
      <vt:lpstr>Kabelstrecke_380kV</vt:lpstr>
      <vt:lpstr>Kenngößen_20kV_110kV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</dc:creator>
  <cp:lastModifiedBy>Stephan</cp:lastModifiedBy>
  <dcterms:created xsi:type="dcterms:W3CDTF">2023-07-03T08:17:54Z</dcterms:created>
  <dcterms:modified xsi:type="dcterms:W3CDTF">2023-07-15T22:27:34Z</dcterms:modified>
</cp:coreProperties>
</file>